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el\Dropbox\výrobky\zámečnictví\ploty\"/>
    </mc:Choice>
  </mc:AlternateContent>
  <xr:revisionPtr revIDLastSave="0" documentId="13_ncr:1_{A86D5D53-9780-4F4D-AAD9-74FD0B0D768F}" xr6:coauthVersionLast="43" xr6:coauthVersionMax="43" xr10:uidLastSave="{00000000-0000-0000-0000-000000000000}"/>
  <bookViews>
    <workbookView xWindow="-120" yWindow="-120" windowWidth="20730" windowHeight="11160" activeTab="3" xr2:uid="{00000000-000D-0000-FFFF-FFFF00000000}"/>
  </bookViews>
  <sheets>
    <sheet name="propočet brána" sheetId="5" r:id="rId1"/>
    <sheet name="polotov-prac" sheetId="2" r:id="rId2"/>
    <sheet name="ploty ceny" sheetId="1" r:id="rId3"/>
    <sheet name="konkurnce ploty" sheetId="6" r:id="rId4"/>
    <sheet name="pracov-pant" sheetId="4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21" i="6" l="1"/>
  <c r="U19" i="6"/>
  <c r="U17" i="6"/>
  <c r="U15" i="6"/>
  <c r="G10" i="6" l="1"/>
  <c r="F10" i="6"/>
  <c r="E4" i="6"/>
  <c r="E6" i="6"/>
  <c r="E5" i="6"/>
  <c r="E2" i="6"/>
  <c r="I54" i="1"/>
  <c r="H54" i="1"/>
  <c r="H76" i="1" l="1"/>
  <c r="J76" i="1"/>
  <c r="H77" i="1"/>
  <c r="J77" i="1" s="1"/>
  <c r="H75" i="1" l="1"/>
  <c r="J75" i="1" s="1"/>
  <c r="J29" i="1" l="1"/>
  <c r="F55" i="1" l="1"/>
  <c r="D16" i="1" l="1"/>
  <c r="H39" i="1" l="1"/>
  <c r="H38" i="1"/>
  <c r="H55" i="1"/>
  <c r="G54" i="1"/>
  <c r="D74" i="1"/>
  <c r="D73" i="1"/>
  <c r="H73" i="1"/>
  <c r="I72" i="1"/>
  <c r="H72" i="1"/>
  <c r="H63" i="1"/>
  <c r="I63" i="1"/>
  <c r="I62" i="1"/>
  <c r="H62" i="1"/>
  <c r="D61" i="1"/>
  <c r="H60" i="1"/>
  <c r="H69" i="1" s="1"/>
  <c r="J69" i="1" s="1"/>
  <c r="D60" i="1"/>
  <c r="H59" i="1"/>
  <c r="D59" i="1"/>
  <c r="H57" i="1"/>
  <c r="D57" i="1"/>
  <c r="H56" i="1"/>
  <c r="H58" i="1" s="1"/>
  <c r="D25" i="1"/>
  <c r="F25" i="1" s="1"/>
  <c r="D15" i="1"/>
  <c r="D54" i="1"/>
  <c r="J62" i="1" l="1"/>
  <c r="H61" i="1"/>
  <c r="J72" i="1"/>
  <c r="H64" i="1"/>
  <c r="J64" i="1" s="1"/>
  <c r="J63" i="1"/>
  <c r="F15" i="1"/>
  <c r="E39" i="1"/>
  <c r="H71" i="1" l="1"/>
  <c r="J71" i="1" s="1"/>
  <c r="D24" i="1"/>
  <c r="F24" i="1" s="1"/>
  <c r="D23" i="1"/>
  <c r="F23" i="1" s="1"/>
  <c r="D22" i="1"/>
  <c r="F22" i="1" s="1"/>
  <c r="D21" i="1"/>
  <c r="F21" i="1" s="1"/>
  <c r="D20" i="1" l="1"/>
  <c r="F20" i="1" s="1"/>
  <c r="D19" i="1"/>
  <c r="F19" i="1" s="1"/>
  <c r="D18" i="1"/>
  <c r="F18" i="1" s="1"/>
  <c r="D17" i="1"/>
  <c r="F17" i="1" s="1"/>
  <c r="D14" i="1"/>
  <c r="D13" i="1"/>
  <c r="F13" i="1" s="1"/>
  <c r="F16" i="1" l="1"/>
  <c r="F14" i="1"/>
  <c r="G130" i="2"/>
  <c r="H74" i="1" l="1"/>
  <c r="F35" i="1"/>
  <c r="F37" i="1" s="1"/>
  <c r="H37" i="1" s="1"/>
  <c r="J54" i="1"/>
  <c r="P16" i="5"/>
  <c r="P17" i="5" s="1"/>
  <c r="P18" i="5" s="1"/>
  <c r="P19" i="5" s="1"/>
  <c r="P20" i="5" s="1"/>
  <c r="P21" i="5" s="1"/>
  <c r="P22" i="5" s="1"/>
  <c r="P25" i="5" s="1"/>
  <c r="P30" i="5" s="1"/>
  <c r="N65" i="5"/>
  <c r="N64" i="5"/>
  <c r="N63" i="5"/>
  <c r="N62" i="5"/>
  <c r="N61" i="5"/>
  <c r="N59" i="5"/>
  <c r="N58" i="5"/>
  <c r="R51" i="5"/>
  <c r="P37" i="5"/>
  <c r="R36" i="5"/>
  <c r="Q30" i="5"/>
  <c r="R29" i="5"/>
  <c r="R26" i="5"/>
  <c r="R24" i="5"/>
  <c r="R23" i="5"/>
  <c r="Q22" i="5"/>
  <c r="N19" i="5"/>
  <c r="N25" i="5" s="1"/>
  <c r="Q25" i="5" s="1"/>
  <c r="P9" i="5"/>
  <c r="O37" i="5" s="1"/>
  <c r="S7" i="5"/>
  <c r="N6" i="5"/>
  <c r="Q20" i="5" s="1"/>
  <c r="Q54" i="1"/>
  <c r="Q55" i="1" s="1"/>
  <c r="Q56" i="1" s="1"/>
  <c r="H35" i="1" l="1"/>
  <c r="Q19" i="5"/>
  <c r="R30" i="5"/>
  <c r="R20" i="5"/>
  <c r="R22" i="5"/>
  <c r="R37" i="5"/>
  <c r="R54" i="5"/>
  <c r="R19" i="5"/>
  <c r="R25" i="5"/>
  <c r="Q16" i="5"/>
  <c r="R16" i="5" s="1"/>
  <c r="N60" i="5"/>
  <c r="S6" i="5"/>
  <c r="U6" i="5" l="1"/>
  <c r="T6" i="5"/>
  <c r="T7" i="5" l="1"/>
  <c r="Q21" i="5" s="1"/>
  <c r="R21" i="5" s="1"/>
  <c r="Q17" i="5"/>
  <c r="R17" i="5" s="1"/>
  <c r="Q18" i="5"/>
  <c r="R18" i="5" s="1"/>
  <c r="R34" i="5" l="1"/>
  <c r="R35" i="5" l="1"/>
  <c r="R38" i="5"/>
  <c r="R39" i="5" l="1"/>
  <c r="R41" i="5" s="1"/>
  <c r="R40" i="5" l="1"/>
  <c r="R42" i="5" s="1"/>
  <c r="R43" i="5" s="1"/>
  <c r="R44" i="5" s="1"/>
  <c r="R48" i="5" s="1"/>
  <c r="R56" i="5" l="1"/>
  <c r="O64" i="1"/>
  <c r="K16" i="4" l="1"/>
  <c r="F56" i="1" l="1"/>
  <c r="F57" i="1" s="1"/>
  <c r="F58" i="1" l="1"/>
  <c r="G57" i="1"/>
  <c r="I57" i="1" s="1"/>
  <c r="J57" i="1" s="1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F59" i="1" l="1"/>
  <c r="F60" i="1" s="1"/>
  <c r="G60" i="1" s="1"/>
  <c r="I60" i="1" s="1"/>
  <c r="J60" i="1" s="1"/>
  <c r="G58" i="1"/>
  <c r="I58" i="1" s="1"/>
  <c r="J58" i="1" s="1"/>
  <c r="F61" i="1" l="1"/>
  <c r="G59" i="1"/>
  <c r="I59" i="1" s="1"/>
  <c r="J59" i="1" s="1"/>
  <c r="F74" i="1"/>
  <c r="G74" i="1" s="1"/>
  <c r="I74" i="1" s="1"/>
  <c r="J74" i="1" s="1"/>
  <c r="G56" i="1"/>
  <c r="G55" i="1"/>
  <c r="I55" i="1" l="1"/>
  <c r="J55" i="1" s="1"/>
  <c r="I56" i="1"/>
  <c r="J56" i="1" s="1"/>
  <c r="G73" i="1"/>
  <c r="I73" i="1" s="1"/>
  <c r="J73" i="1" s="1"/>
  <c r="G61" i="1"/>
  <c r="I61" i="1" s="1"/>
  <c r="J61" i="1" s="1"/>
  <c r="J80" i="1" l="1"/>
  <c r="H33" i="1" s="1"/>
  <c r="H36" i="1" s="1"/>
  <c r="H34" i="1" l="1"/>
  <c r="H40" i="1" s="1"/>
  <c r="H42" i="1" l="1"/>
  <c r="H41" i="1"/>
  <c r="H43" i="1" l="1"/>
  <c r="G13" i="1" s="1"/>
  <c r="H4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Uživatel</author>
  </authors>
  <commentList>
    <comment ref="A5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Uživatel:</t>
        </r>
        <r>
          <rPr>
            <sz val="9"/>
            <color indexed="81"/>
            <rFont val="Tahoma"/>
            <family val="2"/>
            <charset val="238"/>
          </rPr>
          <t xml:space="preserve">
Samonosná posuvná brána s vozíky, příslušenstvím a automatickým pohonem Nice. Určená k okamžité montáži. Rám brány je vyroben z jackelu 60x40mm, výplň brány z plného čtyřhranu 14x14mm, C-profil 70x70mm, vyškově nastavitelné vozíky, doraz, nosné kolečko, horní vedení, nosný sloupek, vše v povrchové úpravě žárový zinek. </t>
        </r>
      </text>
    </comment>
    <comment ref="A56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Uživatel:</t>
        </r>
        <r>
          <rPr>
            <sz val="9"/>
            <color indexed="81"/>
            <rFont val="Tahoma"/>
            <family val="2"/>
            <charset val="238"/>
          </rPr>
          <t xml:space="preserve">
Kompletní samonosná posuvná brána s vozíky,příslušenstvím a automatickým pohonem Nice. Určená k okamžité montáži. Rám brány je vyroben z jackelu 60x40mm, C-profil 70x70mm, vyškově nastavitelné vozíky, doraz, nosné kolečko, horní vedení, nosný sloupek, vše v povrchové úpravě žárový zinek.  </t>
        </r>
      </text>
    </comment>
    <comment ref="A75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38"/>
          </rPr>
          <t>Uživatel:</t>
        </r>
        <r>
          <rPr>
            <sz val="9"/>
            <color indexed="81"/>
            <rFont val="Tahoma"/>
            <family val="2"/>
            <charset val="238"/>
          </rPr>
          <t xml:space="preserve">
Brána samonosná pozinkovaná pro průjezd 3,5 s pohonem Hörmann a bezpečnostní sadou SK  bez montáže a výplně </t>
        </r>
      </text>
    </comment>
  </commentList>
</comments>
</file>

<file path=xl/sharedStrings.xml><?xml version="1.0" encoding="utf-8"?>
<sst xmlns="http://schemas.openxmlformats.org/spreadsheetml/2006/main" count="981" uniqueCount="643">
  <si>
    <t>Cena celkem</t>
  </si>
  <si>
    <t>Sloupek do plotového pole</t>
  </si>
  <si>
    <t>m2</t>
  </si>
  <si>
    <t>Celkem</t>
  </si>
  <si>
    <t>Plotové pole 1</t>
  </si>
  <si>
    <t>Posuvná brána Alu</t>
  </si>
  <si>
    <t>boční u profil</t>
  </si>
  <si>
    <t>počet ks</t>
  </si>
  <si>
    <t>Zákazník</t>
  </si>
  <si>
    <t>Datum:</t>
  </si>
  <si>
    <t>Zpracoval:</t>
  </si>
  <si>
    <t xml:space="preserve"> </t>
  </si>
  <si>
    <t>zarážka</t>
  </si>
  <si>
    <t>montážní deska pro pant
Al 100 mm x 60 mm</t>
  </si>
  <si>
    <t>krytka sloupku - ozdobá</t>
  </si>
  <si>
    <t>http://www.aluzaun.at/cz/plotovy-system/sloupky-cepice-a-prislusenstvi-pro-montaz/</t>
  </si>
  <si>
    <t>VLOŽKA ZÁMKU 
NA BZUČÁK</t>
  </si>
  <si>
    <t>KOVÁNÍ S KLIKOU</t>
  </si>
  <si>
    <t>kování - výběr</t>
  </si>
  <si>
    <t>VLOŽKA ZÁMKU</t>
  </si>
  <si>
    <t>12x12x2</t>
  </si>
  <si>
    <t>vyrovnávací svislý l profil
u sloupku na křivost sloupku</t>
  </si>
  <si>
    <t>80x80x3 
nebo
100x100x3</t>
  </si>
  <si>
    <t>25x50x2</t>
  </si>
  <si>
    <t>60x50x3</t>
  </si>
  <si>
    <t xml:space="preserve">obvodový rám
vrátka, vrata, brány
</t>
  </si>
  <si>
    <t>40x5</t>
  </si>
  <si>
    <t>50x25x2,5
nebo
50x30x2,5</t>
  </si>
  <si>
    <t>náklady</t>
  </si>
  <si>
    <t>cena za bm</t>
  </si>
  <si>
    <t>váha</t>
  </si>
  <si>
    <t>Telefon 224 498 267, office@blecha-alu.cz, www.aluzaun.at/cz</t>
  </si>
  <si>
    <t xml:space="preserve">                BLECHA CZ s.r.o., Na Průhonu 875/1, CZ-568 02 SVITAVY</t>
  </si>
  <si>
    <t xml:space="preserve">   www.blecha.at/fileadmin/daten/divers/Folder-Mustergarten_CZ_web.pdf</t>
  </si>
  <si>
    <t xml:space="preserve">   prospekt ke stažení:</t>
  </si>
  <si>
    <t>Ceny jsou platné od listopadu 2016 až do odvolání bez DPH</t>
  </si>
  <si>
    <t>m</t>
  </si>
  <si>
    <t>JEKL PRAVOÚHLÝ LISOVANÝ, TEPANÝ</t>
  </si>
  <si>
    <t>jekl 60 tepaný</t>
  </si>
  <si>
    <t>JEKL ČTVERCOVÝ LISOVANÝ, TEPANÝ</t>
  </si>
  <si>
    <t>jekl 40 tepaný</t>
  </si>
  <si>
    <t>ČTYŘHRANNÁ TYČ LISOVANÁ, TEPANÁ</t>
  </si>
  <si>
    <t>25x25 tepaný</t>
  </si>
  <si>
    <t>15x15 tepaný</t>
  </si>
  <si>
    <t>SVODIDLOVÝ PROFIL P48, hliník</t>
  </si>
  <si>
    <t>P 48</t>
  </si>
  <si>
    <t>SVODIDLOVÝ PROFIL P38, hliník</t>
  </si>
  <si>
    <t>P 38</t>
  </si>
  <si>
    <t>OZDOBNÁ PLOCHÁ TYČ, hliník</t>
  </si>
  <si>
    <t>Plochá ozdobná</t>
  </si>
  <si>
    <t>ks</t>
  </si>
  <si>
    <t>KONCOVKA „Dekor“, hliník</t>
  </si>
  <si>
    <t>Koncovka Dekor</t>
  </si>
  <si>
    <t>OZDOBNÁ TYČ ohnutá</t>
  </si>
  <si>
    <t>Ohnutá</t>
  </si>
  <si>
    <t>OZDOBNÁ TYČ dvojitě zkroucená</t>
  </si>
  <si>
    <t>Zkroucená</t>
  </si>
  <si>
    <t>OZDOBNÁ TYČ s dekorativní článkem dvojitě</t>
  </si>
  <si>
    <t>Článek 2x</t>
  </si>
  <si>
    <t>OZDOBNÁ TYČ "ROSALIA", hliník</t>
  </si>
  <si>
    <t>Rosalia</t>
  </si>
  <si>
    <t>OZDOBNÁ TYČ "RAX", hliník</t>
  </si>
  <si>
    <t>Rax</t>
  </si>
  <si>
    <t>DEKORATIVNÍ ČLÁNEK 180x95 mm</t>
  </si>
  <si>
    <t>Článek 180x95</t>
  </si>
  <si>
    <t>DEKORATIVNÍ ČLÁNEK 130x60 mm</t>
  </si>
  <si>
    <t>Článek 130x60</t>
  </si>
  <si>
    <t>KULIČKA PRO ROZETU</t>
  </si>
  <si>
    <t>Kulička/rozeta</t>
  </si>
  <si>
    <t>ROZETA</t>
  </si>
  <si>
    <t>Rozeta</t>
  </si>
  <si>
    <t>KOHOUTÍ PÍRKO PRAVÉ</t>
  </si>
  <si>
    <t>Pírko P</t>
  </si>
  <si>
    <t>KOHOUTÍ PÍRKO LEVÉ</t>
  </si>
  <si>
    <t>Pírko L</t>
  </si>
  <si>
    <t>OZDOBNÝ C-PROFIL 120x75</t>
  </si>
  <si>
    <t>Závitek</t>
  </si>
  <si>
    <t>OZDOBNÁ ŠPIČKA "PLAMEN" 125 mm</t>
  </si>
  <si>
    <t>Plamen 125</t>
  </si>
  <si>
    <t>OZDOBNÁ ŠPIČKA "LILIE" 195 mm</t>
  </si>
  <si>
    <t>Lilie 195</t>
  </si>
  <si>
    <t>OZDOBNÁ ŠPIČKA "LILIE" 160 mm</t>
  </si>
  <si>
    <t>Lilie 160</t>
  </si>
  <si>
    <t>OZDOBNÁ KRYTKA "DEKOR" pro jekl 15 x 15 x 1,5</t>
  </si>
  <si>
    <t>Krytka dekor/jekl</t>
  </si>
  <si>
    <t>OZDOBNÁ KRYTKA "DEKOR" pro P1515</t>
  </si>
  <si>
    <t>Krytka dekor/P1515</t>
  </si>
  <si>
    <t>OZDOBNÁ KRYTKA "SPEER" pro jekl 15 x 15 x 1,5</t>
  </si>
  <si>
    <t>Krytka speer/jekl</t>
  </si>
  <si>
    <t>OZDOBNÁ KRYTKA "SPEER" pro P1515</t>
  </si>
  <si>
    <t>Krytka speer/P1515</t>
  </si>
  <si>
    <t>OZDOBNÁ KRYTKA "PLAMEN" pro P30</t>
  </si>
  <si>
    <t>Krytka plamen/P30</t>
  </si>
  <si>
    <t>OZDOBNÁ KRYTKA "PLAMEN" pro jekl 15 x 15 x 1,5</t>
  </si>
  <si>
    <t>Krytka plamen/jekl</t>
  </si>
  <si>
    <t>OZDOBNÁ KRYTKA "PLAMEN" pro P1515</t>
  </si>
  <si>
    <t>Krytka plamen/P1515</t>
  </si>
  <si>
    <t>OZDOBNÁ KRYTKA S KULIČKOU pro jekl 15 x 15 x 1,5</t>
  </si>
  <si>
    <t>Krytka s kuličkou/jekl</t>
  </si>
  <si>
    <t>OZDOBNÁ KRYTKA S KULIČKOU pro P1515</t>
  </si>
  <si>
    <t>Krytka s kuličkou/P1515</t>
  </si>
  <si>
    <t xml:space="preserve">ORNAMENT PRO BRÁNU 380 x 200x 20, hliníkový odlitek </t>
  </si>
  <si>
    <t>Ornament</t>
  </si>
  <si>
    <t>OZDOBNÁ LAŤ DUTÁ SE ŠROUB. KANÁLKEM P31, hliník</t>
  </si>
  <si>
    <t>P31</t>
  </si>
  <si>
    <t>OZDOBNÁ LAŤ SE ŠROUB. KANÁLKEM P44, hliník</t>
  </si>
  <si>
    <t xml:space="preserve">P44 </t>
  </si>
  <si>
    <t>OZDOBNÁ LAŤ SE ŠROUB. KANÁLKEM P22,  hliník</t>
  </si>
  <si>
    <t>P22</t>
  </si>
  <si>
    <t>OZDOBNÁ LAŤ SE ŠROUB. KANÁLKEM P19, hliník</t>
  </si>
  <si>
    <t>P19</t>
  </si>
  <si>
    <t>OZDOBNÁ LAŤ D-KLIPS P42, hliník</t>
  </si>
  <si>
    <t xml:space="preserve">P42 </t>
  </si>
  <si>
    <t>OZDOBNÁ LAŤ U-KLIPS P43, hliník</t>
  </si>
  <si>
    <t xml:space="preserve">P43 </t>
  </si>
  <si>
    <t>OZDOBNÁ LAŤ SE ŠROUB. KANÁLKEM P40, hliník</t>
  </si>
  <si>
    <t>P40</t>
  </si>
  <si>
    <t>OZDOBNÁ LAŤ SE ŠROUB. KANÁLKEM P04, hliník</t>
  </si>
  <si>
    <t>P04</t>
  </si>
  <si>
    <t>P482 ZÁBRADLÍ, hliník</t>
  </si>
  <si>
    <t>P482</t>
  </si>
  <si>
    <t>€</t>
  </si>
  <si>
    <t>MJ</t>
  </si>
  <si>
    <t>Kč</t>
  </si>
  <si>
    <t>Označení</t>
  </si>
  <si>
    <t>Položka č.</t>
  </si>
  <si>
    <t>MADLO P845, hliník</t>
  </si>
  <si>
    <t>P845</t>
  </si>
  <si>
    <t>KONCOVÝ KRYT PRO P141, hliníkový odlitek</t>
  </si>
  <si>
    <t>Kryt P141</t>
  </si>
  <si>
    <t>P141 MADLO, hliník</t>
  </si>
  <si>
    <t>P141</t>
  </si>
  <si>
    <t>KRYT PRO P341, hliníkový odlitek</t>
  </si>
  <si>
    <t>Kryt P341</t>
  </si>
  <si>
    <t>MADLO S PŘÍČKOU P341, hliník</t>
  </si>
  <si>
    <t>P 341</t>
  </si>
  <si>
    <t>KONCOVÝ KRYT PRO P1651, hliníkový odlitek</t>
  </si>
  <si>
    <t>Kryt P1651</t>
  </si>
  <si>
    <t>P1651 MADLO, hliník</t>
  </si>
  <si>
    <t>P1651</t>
  </si>
  <si>
    <t>KRYT PRO P101, hliníkový odlitek</t>
  </si>
  <si>
    <t>Kryt P101</t>
  </si>
  <si>
    <t>MADLO S PŘÍČKOU P101, hliník</t>
  </si>
  <si>
    <t>P 101</t>
  </si>
  <si>
    <t>KONCOVÝ KRYT PRO P8451, hliníkový odlitek</t>
  </si>
  <si>
    <t>Kryt P8451</t>
  </si>
  <si>
    <t>MADLO P8451, hliník</t>
  </si>
  <si>
    <t>P8451</t>
  </si>
  <si>
    <t>KONCOVÝ KRYT PRO P802, hliníkový odlitek</t>
  </si>
  <si>
    <t>Kryt P802</t>
  </si>
  <si>
    <t>MADLO S PŘÍČKOU P802, hliník</t>
  </si>
  <si>
    <t>P 802</t>
  </si>
  <si>
    <t>KRYT PRO P801, hliníkový odlitek</t>
  </si>
  <si>
    <t>Kryt P801</t>
  </si>
  <si>
    <t>MADLO  S PŘÍČKOU P801, hliník</t>
  </si>
  <si>
    <t>P801</t>
  </si>
  <si>
    <t>KRYT PRO P09, hliníkový odlitek</t>
  </si>
  <si>
    <t>Kryt P09</t>
  </si>
  <si>
    <t>ZÁBRADLOVÝ PROFIL P09, hliník</t>
  </si>
  <si>
    <t>P09</t>
  </si>
  <si>
    <t>PLASTOVÝ KRYT PRO P39, černý plast</t>
  </si>
  <si>
    <t>Kryt P39</t>
  </si>
  <si>
    <t>MADLO P39, hliník</t>
  </si>
  <si>
    <t>P39</t>
  </si>
  <si>
    <t>KRYT PRO P35, hliníkový odlitek</t>
  </si>
  <si>
    <t>Kryt P35</t>
  </si>
  <si>
    <t>MADLO P35, hlliník</t>
  </si>
  <si>
    <t>P35</t>
  </si>
  <si>
    <t>KRYT PRO ZÁBRADLÍ P15, hliník. odlitek</t>
  </si>
  <si>
    <t>Kryt P15</t>
  </si>
  <si>
    <t>NOSIČ PRO ZÁBRADLÍ P14, hliník</t>
  </si>
  <si>
    <t>P14</t>
  </si>
  <si>
    <t>ZÁBRADLÍ P15, hliník</t>
  </si>
  <si>
    <t>P15</t>
  </si>
  <si>
    <t>NOSIČ PRO ZÁBRADLÍ P62 a P662, hliník</t>
  </si>
  <si>
    <t>P62</t>
  </si>
  <si>
    <t>PLASTOVÝ KRYT PRO P662, černý plast</t>
  </si>
  <si>
    <t>Kryt P662</t>
  </si>
  <si>
    <t>ZÁBRADLÍ P662, hliník</t>
  </si>
  <si>
    <t>P662</t>
  </si>
  <si>
    <t>PLASTOVÝ KRYT PRO P63, černý plast</t>
  </si>
  <si>
    <t>Krytk P63</t>
  </si>
  <si>
    <t>ZÁBRADLÍ P63, hliník</t>
  </si>
  <si>
    <t>P63</t>
  </si>
  <si>
    <t>TERASOVÁ DESKA P14025</t>
  </si>
  <si>
    <t>P14025</t>
  </si>
  <si>
    <t>TERASOVÁ DESKA P9519</t>
  </si>
  <si>
    <t>P9519</t>
  </si>
  <si>
    <t>BALUSTRÁDA, hliníkový odlitek</t>
  </si>
  <si>
    <t>Balustráda</t>
  </si>
  <si>
    <t>NÁVAŘOVÁ DESKA mimostředová pro sloupek 120x120 mm</t>
  </si>
  <si>
    <t>Deska mimo. 120</t>
  </si>
  <si>
    <t>NÁVAROVÁ DESKA středová, pro sloupek 120x120 mm</t>
  </si>
  <si>
    <t>Deska střed. 120</t>
  </si>
  <si>
    <t>NÁVAŘOVÁ DESKA mimostředová pro sloupek 100x100 mm</t>
  </si>
  <si>
    <t>Deska mimo. 100</t>
  </si>
  <si>
    <t>NÁVAROVÁ DESKA středová, pro sloupek 100x100 mm</t>
  </si>
  <si>
    <t>Deska střed. 100</t>
  </si>
  <si>
    <t>MONTÁŽNÍ ÚHEL</t>
  </si>
  <si>
    <t>Úhel</t>
  </si>
  <si>
    <t xml:space="preserve">T-DORAZ P41, hliník </t>
  </si>
  <si>
    <t>P41</t>
  </si>
  <si>
    <t>PANT S05 hliník - nerez, bez montážní desky</t>
  </si>
  <si>
    <t>S05</t>
  </si>
  <si>
    <t>PANT S055 hliník - nerez, bez montážní desky</t>
  </si>
  <si>
    <t>S055</t>
  </si>
  <si>
    <t>MONTÁŽNÍ DESKA 100x100</t>
  </si>
  <si>
    <t>Deska 100</t>
  </si>
  <si>
    <t>MONTÁŽNÍ DESKA 100 X 60</t>
  </si>
  <si>
    <t>Deska 60</t>
  </si>
  <si>
    <t>PROFIL PRO PANT A ZÁVORU</t>
  </si>
  <si>
    <t>P05</t>
  </si>
  <si>
    <t xml:space="preserve">ZÁVORA R05 </t>
  </si>
  <si>
    <t>R05</t>
  </si>
  <si>
    <t>BOTA PRO R05, hliníkový odlitek</t>
  </si>
  <si>
    <t>Bota</t>
  </si>
  <si>
    <t>MONTÁŽNÍ PATKA pro jekl 100x100</t>
  </si>
  <si>
    <t>Patka 100</t>
  </si>
  <si>
    <t>MONTÁŽNÍ PATKA pro jekl100 x 100</t>
  </si>
  <si>
    <t>MONTÁŽNÍ PATKA pro jekl 80x80</t>
  </si>
  <si>
    <t>Patka 80</t>
  </si>
  <si>
    <t>KOULE S PÁSKEM K100C DEKOR, hliníkový odlitek</t>
  </si>
  <si>
    <t>K100C DEKOR</t>
  </si>
  <si>
    <t>KOULE PRO SLOUPEK K100C, hliníkový odlitek</t>
  </si>
  <si>
    <t>K100C</t>
  </si>
  <si>
    <t>KOULE PRO SLOUPEK K80C, hliníkový odlitek</t>
  </si>
  <si>
    <t>K80C</t>
  </si>
  <si>
    <t>KOULE PRO SLOUPEK K50C, hliníkový odlitek</t>
  </si>
  <si>
    <t>K50C</t>
  </si>
  <si>
    <t>KOULE PRO SLOUPEK K30C, hliníkový odlitek</t>
  </si>
  <si>
    <t>K30C</t>
  </si>
  <si>
    <t>ČEPICE K150A</t>
  </si>
  <si>
    <t>K150A</t>
  </si>
  <si>
    <t>ČEPICE K120A ostrohranná</t>
  </si>
  <si>
    <t>K120A</t>
  </si>
  <si>
    <t>ČEPICE K60A ostrohranná</t>
  </si>
  <si>
    <t>K60A</t>
  </si>
  <si>
    <t>ČEPICE K100A ostrohranná</t>
  </si>
  <si>
    <t>K100A ostrohranná</t>
  </si>
  <si>
    <t>ČEPICE K100A kulatá</t>
  </si>
  <si>
    <t>K100A kulatá</t>
  </si>
  <si>
    <t>ČEPICE K80A ostrohranná</t>
  </si>
  <si>
    <t>K80A ostrohranná</t>
  </si>
  <si>
    <t>ČEPICE K80A kulatá</t>
  </si>
  <si>
    <t>K80A kulatá</t>
  </si>
  <si>
    <t>ČEPICE K100B s koulí</t>
  </si>
  <si>
    <t>K100B</t>
  </si>
  <si>
    <t>ČEPICE K80B s koulí</t>
  </si>
  <si>
    <t>K80B</t>
  </si>
  <si>
    <t>P12156 PROFIL PRO SLOUPKY, hliník</t>
  </si>
  <si>
    <t>P12156</t>
  </si>
  <si>
    <t xml:space="preserve">ROHOVÁ SPOJKA V104, hliníkový odlitek </t>
  </si>
  <si>
    <t>V104</t>
  </si>
  <si>
    <t>ROHOVÁ SPOJKA V02, hliníkový odlitek</t>
  </si>
  <si>
    <t>V02</t>
  </si>
  <si>
    <t>RÁMOVÝ PROFIL PRO BRÁNY P204, hliník</t>
  </si>
  <si>
    <t>P 204</t>
  </si>
  <si>
    <t>RÁMOVÝ PROFIL PRO BRÁNY P104 , hliník</t>
  </si>
  <si>
    <t>P 104</t>
  </si>
  <si>
    <t>RÁMOVÝ PROFIL PRO BRÁNY P86, hliník</t>
  </si>
  <si>
    <t>P 86</t>
  </si>
  <si>
    <t xml:space="preserve">RÁMOVÝ PROFIL PRO BRÁNY P84, hliník </t>
  </si>
  <si>
    <t>P 84</t>
  </si>
  <si>
    <t>KRYCÍ LIŠTA P25, hliník</t>
  </si>
  <si>
    <t>P 25</t>
  </si>
  <si>
    <t>KRYCÍ LIŠTA P245, hliník</t>
  </si>
  <si>
    <t>P 245</t>
  </si>
  <si>
    <t>KRYCÍ LIŠTA P03, hliník</t>
  </si>
  <si>
    <t>P 03</t>
  </si>
  <si>
    <t>KRYCÍ LIŠTA P24, hliník</t>
  </si>
  <si>
    <t>P 24</t>
  </si>
  <si>
    <t>NOSNÁ LAŤ P02, hliník</t>
  </si>
  <si>
    <t>P 02</t>
  </si>
  <si>
    <t>NOSNÁ LAŤ P021, hliník</t>
  </si>
  <si>
    <t>P 021</t>
  </si>
  <si>
    <t>NOSNÁ LAŤ P50, hliník</t>
  </si>
  <si>
    <t>P 50</t>
  </si>
  <si>
    <t>NOSNÁ LAŤ P54, hliník</t>
  </si>
  <si>
    <t>P 54</t>
  </si>
  <si>
    <t>KRYCÍ LIŠTA P55, hliník</t>
  </si>
  <si>
    <t>P 55</t>
  </si>
  <si>
    <t>NOSNÁ LAŤ P6625, hliník</t>
  </si>
  <si>
    <t>P6625</t>
  </si>
  <si>
    <t>NOSNÁ LAŤ P661, hliník</t>
  </si>
  <si>
    <t>P661</t>
  </si>
  <si>
    <t>P83 NOSNÁ LAŤ, HLINÍK</t>
  </si>
  <si>
    <t>P83</t>
  </si>
  <si>
    <t>NOSNÁ LAŤ P441, hliník</t>
  </si>
  <si>
    <t>P441</t>
  </si>
  <si>
    <t>NOSNÁ LAŤ P420, hliník</t>
  </si>
  <si>
    <t>P420</t>
  </si>
  <si>
    <t>NOSNÁ LAŤ P442, hliník</t>
  </si>
  <si>
    <t>P442</t>
  </si>
  <si>
    <t>NOSNÁ LAŤ P93, hliník</t>
  </si>
  <si>
    <t>P 93</t>
  </si>
  <si>
    <t>NOSNÁ LAŤ P60, hliník</t>
  </si>
  <si>
    <t>P 60</t>
  </si>
  <si>
    <t>NOSNÁ LAŤ P733, hliník</t>
  </si>
  <si>
    <t>P733</t>
  </si>
  <si>
    <t>NOSNÁ LAŤ P73, hliník</t>
  </si>
  <si>
    <t>P 73</t>
  </si>
  <si>
    <t>NOSNÁ LAŤ P70, hliník</t>
  </si>
  <si>
    <t>P 70</t>
  </si>
  <si>
    <t>NOSNÁ LAŤ P513, hliník</t>
  </si>
  <si>
    <t>P513</t>
  </si>
  <si>
    <t>NOSNÁ LAŤ P51, HLINÍK</t>
  </si>
  <si>
    <t>P 51</t>
  </si>
  <si>
    <t>PLNÝ PROFIL P9279</t>
  </si>
  <si>
    <t>P 9279</t>
  </si>
  <si>
    <t xml:space="preserve">OBKLADOVÝ PROFIL P9256 </t>
  </si>
  <si>
    <t>P 9256</t>
  </si>
  <si>
    <t xml:space="preserve">LAMELA P20045 </t>
  </si>
  <si>
    <t>P20045</t>
  </si>
  <si>
    <t xml:space="preserve">LAMELA P20030 </t>
  </si>
  <si>
    <t>P20030</t>
  </si>
  <si>
    <t>LAMELA P10026</t>
  </si>
  <si>
    <t>P10026</t>
  </si>
  <si>
    <t>DEKORATIVNÍ LAMELA 45° P1152, hliník</t>
  </si>
  <si>
    <t>P1152</t>
  </si>
  <si>
    <t>LAMELA 45° P1151, hliník</t>
  </si>
  <si>
    <t>P1151</t>
  </si>
  <si>
    <t>LAMELA 30° P125, hliník</t>
  </si>
  <si>
    <t>P125</t>
  </si>
  <si>
    <t>OSMIÚHELNÍKOVÁ TRUBKA A72</t>
  </si>
  <si>
    <t>A 72</t>
  </si>
  <si>
    <t>OSMIÚHELNÍKOVÁ TRUBKA A45</t>
  </si>
  <si>
    <t>A 45</t>
  </si>
  <si>
    <t>TROJÚHELNÍKOVÁ ČEPIČKA DK50</t>
  </si>
  <si>
    <t>DK 50</t>
  </si>
  <si>
    <t>TROJÚHELNÍKOVÁ ČEPIČKA DK30</t>
  </si>
  <si>
    <t>DK 30</t>
  </si>
  <si>
    <t>TROJÚHELNÍKOVÁ TRUBKA D100</t>
  </si>
  <si>
    <t>D 100</t>
  </si>
  <si>
    <t>TROJÚHELNÍKOVÁ TRUBKA D70</t>
  </si>
  <si>
    <t>D 70</t>
  </si>
  <si>
    <t>TROJÚHELNÍKOVÁ TRUBKA D50</t>
  </si>
  <si>
    <t>D 50</t>
  </si>
  <si>
    <t>TROJÚHELNÍKOVÁ TRUBKA D30</t>
  </si>
  <si>
    <t>D 30</t>
  </si>
  <si>
    <t>PŮLKRUHOVÁ TRUBKA P9231, hliník</t>
  </si>
  <si>
    <t>P 9231</t>
  </si>
  <si>
    <t>PŮLKRUHOVÁ TRUBKA P9268, hliník</t>
  </si>
  <si>
    <t>P 9268</t>
  </si>
  <si>
    <t>LICHOBĚŽNÍKOVÝ JEKL  P9254, hliník</t>
  </si>
  <si>
    <t>P 9254</t>
  </si>
  <si>
    <t>LICHOBĚŽNÍKOVÝ JEKL P9227, hliník</t>
  </si>
  <si>
    <t>P 9227</t>
  </si>
  <si>
    <t>KULATÁ KRYTKA pro trubku 30x2 mm, hliník</t>
  </si>
  <si>
    <t>Krytka</t>
  </si>
  <si>
    <t>KULATÁ KRYTKA pro trubku 20x2 mm, hliník</t>
  </si>
  <si>
    <t>ŠPICE ŠPIČATÁ S30, zinkový tlakový odlitek</t>
  </si>
  <si>
    <t>S 30</t>
  </si>
  <si>
    <t>ŠPICE CIBULE Z30, zinkový tlakový odlitek</t>
  </si>
  <si>
    <t>Z 30</t>
  </si>
  <si>
    <t>ŠPICE KULATÁ K30, zinkový tlakový odlitek</t>
  </si>
  <si>
    <t>K 30</t>
  </si>
  <si>
    <t>ŠPICE ŠPIČATÁ S26, zinkový tlakový odlitek</t>
  </si>
  <si>
    <t>S 26</t>
  </si>
  <si>
    <t>ŠPICE CIBULE  Z26, zinkový tlakový odlitek</t>
  </si>
  <si>
    <t>Z 26</t>
  </si>
  <si>
    <t>ŠPICE KULATÁ K26, zinkový tlakový odlitek</t>
  </si>
  <si>
    <t xml:space="preserve">K 26 </t>
  </si>
  <si>
    <t>ŠPICE PLOCHÁ F30, hliník</t>
  </si>
  <si>
    <t>F 30</t>
  </si>
  <si>
    <t>ŠPICE CIBULE Z30, hliník</t>
  </si>
  <si>
    <t>ŠPICE ŠPIČATÁ S30, hliník</t>
  </si>
  <si>
    <t>ŠPICE DEKOR D30, hliník</t>
  </si>
  <si>
    <t>ŠPICE KULATÁ K30, hliník</t>
  </si>
  <si>
    <t>ŠPICE CIBULE Z26, hliník</t>
  </si>
  <si>
    <t>ŠPICE ŠPIČATÁ S26, hliník</t>
  </si>
  <si>
    <t>ŠPICE DEKOR D26, hliník</t>
  </si>
  <si>
    <t>D 26</t>
  </si>
  <si>
    <t>ŠPICE KULATÁ K26, hliník</t>
  </si>
  <si>
    <t>P301 PALISÁDA vnější Ø 30, hladká</t>
  </si>
  <si>
    <t>P301</t>
  </si>
  <si>
    <t>P30 PALISÁDA (OZDOBNÁ TYČ), hliník</t>
  </si>
  <si>
    <t>P 30</t>
  </si>
  <si>
    <t>P261 PALISÁDA (OZDOBNÁ TYČ), HLINÍK</t>
  </si>
  <si>
    <t>P 261</t>
  </si>
  <si>
    <t>P15012 LAŤ, HLINÍK</t>
  </si>
  <si>
    <t>P15012</t>
  </si>
  <si>
    <t>P119 LAŤ, HLINÍK</t>
  </si>
  <si>
    <t>P119</t>
  </si>
  <si>
    <t>ČEPIČKA kulatá K081R</t>
  </si>
  <si>
    <t>K081R</t>
  </si>
  <si>
    <t>ČEPIČKA plochá K081F</t>
  </si>
  <si>
    <t>K081F</t>
  </si>
  <si>
    <t>P081 LAŤ, HLINÍK</t>
  </si>
  <si>
    <t>P081</t>
  </si>
  <si>
    <t>P65 SS LAŤ,  SPECIÁLNÍ PROFIL, HLINÍK</t>
  </si>
  <si>
    <t>P 65 SS</t>
  </si>
  <si>
    <t>P65 LAŤ,  SPECIÁLNÍ PROFIL, HLINÍK</t>
  </si>
  <si>
    <t>P 65 PS</t>
  </si>
  <si>
    <t>P781 KS LAŤ, HLINÍK</t>
  </si>
  <si>
    <t>P 781KS</t>
  </si>
  <si>
    <t>P782 LAŤ, HLINÍK</t>
  </si>
  <si>
    <t>P 782</t>
  </si>
  <si>
    <t>ČEPIČKA K78F</t>
  </si>
  <si>
    <t>K78F</t>
  </si>
  <si>
    <t>ČEPIČKA K65E</t>
  </si>
  <si>
    <t>K65E</t>
  </si>
  <si>
    <t>ČEPIČKA K65R</t>
  </si>
  <si>
    <t>K65R</t>
  </si>
  <si>
    <t>P784 LAŤ SE ŠROUBOVÝM KANÁLKEM, HLINÍK</t>
  </si>
  <si>
    <t>P784</t>
  </si>
  <si>
    <t>P783 LAŤ, HLINÍK</t>
  </si>
  <si>
    <t>P783</t>
  </si>
  <si>
    <t>P781 LAŤ, HLINÍK</t>
  </si>
  <si>
    <t>P 781</t>
  </si>
  <si>
    <t>P78 LAŤ, HLINÍK</t>
  </si>
  <si>
    <t>P 78</t>
  </si>
  <si>
    <t>ČEPIČKA K78E</t>
  </si>
  <si>
    <t>K78E</t>
  </si>
  <si>
    <t>ČEPIČKA K78R</t>
  </si>
  <si>
    <t>K78R</t>
  </si>
  <si>
    <t>P85 SS LAŤ, HLINÍK</t>
  </si>
  <si>
    <t>P 85 SS</t>
  </si>
  <si>
    <t>P85 PS LAŤ, HLINÍK</t>
  </si>
  <si>
    <t>P 85 PS</t>
  </si>
  <si>
    <t>P98 SS LAŤ, HLINÍK</t>
  </si>
  <si>
    <t>P 98 SS</t>
  </si>
  <si>
    <t>P98 PS LAŤ, HLINÍK</t>
  </si>
  <si>
    <t>P 98 PS</t>
  </si>
  <si>
    <t>P118 KS LAŤ, HLINÍK</t>
  </si>
  <si>
    <t>P 118 KS</t>
  </si>
  <si>
    <t>P118 PS LAŤ, HLINÍK</t>
  </si>
  <si>
    <t>P 118 PS</t>
  </si>
  <si>
    <t>ČEPIČKA K85E</t>
  </si>
  <si>
    <t>K85E</t>
  </si>
  <si>
    <t>ČEPIČKA K85R</t>
  </si>
  <si>
    <t>K85R</t>
  </si>
  <si>
    <t>ČEPIČKA K98E</t>
  </si>
  <si>
    <t>K98E</t>
  </si>
  <si>
    <t>ČEPIČKA K98R</t>
  </si>
  <si>
    <t>K98R</t>
  </si>
  <si>
    <t>ČEPIČKA K118E</t>
  </si>
  <si>
    <t>K118E</t>
  </si>
  <si>
    <t>ČEPIČKA K118R</t>
  </si>
  <si>
    <t xml:space="preserve">K118R </t>
  </si>
  <si>
    <t>CENÍK PLOTOVÝ SYSTÉM</t>
  </si>
  <si>
    <t>C:\Users\Karel\OneDrive\Dokumenty\ploty\Katalog Zaun-und Balkonbau_Mustergarten_CZ.pdf</t>
  </si>
  <si>
    <t>B</t>
  </si>
  <si>
    <t>závit M10</t>
  </si>
  <si>
    <t>PRŮMĚR</t>
  </si>
  <si>
    <t>DÉLKA</t>
  </si>
  <si>
    <t>A</t>
  </si>
  <si>
    <t>C</t>
  </si>
  <si>
    <t>D</t>
  </si>
  <si>
    <t>E</t>
  </si>
  <si>
    <t>VÝŠKA</t>
  </si>
  <si>
    <t>F</t>
  </si>
  <si>
    <t>MATERIÁL NEREZ</t>
  </si>
  <si>
    <t>celková délka</t>
  </si>
  <si>
    <t>hloubka závitu</t>
  </si>
  <si>
    <t>zapuštění hlavy šroubu</t>
  </si>
  <si>
    <t>ano</t>
  </si>
  <si>
    <t>nerez"</t>
  </si>
  <si>
    <t>DIN 1.4305 (AISI 303)</t>
  </si>
  <si>
    <t>lamela 112x18 mm - přírodní
délka 6 m</t>
  </si>
  <si>
    <t xml:space="preserve">  lenght</t>
  </si>
  <si>
    <t>diameter</t>
  </si>
  <si>
    <t>highg</t>
  </si>
  <si>
    <t>lenght</t>
  </si>
  <si>
    <t>stainsteel</t>
  </si>
  <si>
    <t>total lenght</t>
  </si>
  <si>
    <t>deep of thread</t>
  </si>
  <si>
    <t>thread m10</t>
  </si>
  <si>
    <t>Inserting the screw head</t>
  </si>
  <si>
    <t>yes</t>
  </si>
  <si>
    <t>material</t>
  </si>
  <si>
    <t>www.svarujemehlinik.cz</t>
  </si>
  <si>
    <t>doraz na dveře
 -protikus</t>
  </si>
  <si>
    <t>cena/mj</t>
  </si>
  <si>
    <t>označení</t>
  </si>
  <si>
    <t>materiál</t>
  </si>
  <si>
    <t>dorazový profil 
na branku</t>
  </si>
  <si>
    <t>vrchní krytka sloupku Al plech
navařovací plech</t>
  </si>
  <si>
    <t>lamela 100x20x1,6
přírodní</t>
  </si>
  <si>
    <t>boční u 25x30x2 pro lamelu
100x20x1,6</t>
  </si>
  <si>
    <t>Hodnota LME</t>
  </si>
  <si>
    <t>Parametry brány</t>
  </si>
  <si>
    <t>www.lme.com</t>
  </si>
  <si>
    <t>vyplnit žluté pole</t>
  </si>
  <si>
    <t>Kurz dolaru</t>
  </si>
  <si>
    <t>čistý vjezd mm</t>
  </si>
  <si>
    <t>výška brány mm</t>
  </si>
  <si>
    <t>celkový přesah</t>
  </si>
  <si>
    <t>přesah vrchní části</t>
  </si>
  <si>
    <t>šikmina</t>
  </si>
  <si>
    <t>celková délka brány mm</t>
  </si>
  <si>
    <t>počet svislých sloupků v bráně ks</t>
  </si>
  <si>
    <t xml:space="preserve"> cena m2</t>
  </si>
  <si>
    <t>tyčky  - ano ne</t>
  </si>
  <si>
    <t>ne</t>
  </si>
  <si>
    <t>Výplně sklo</t>
  </si>
  <si>
    <t>příčné spojníky v poli</t>
  </si>
  <si>
    <t>Celkem m2</t>
  </si>
  <si>
    <t>dřevo</t>
  </si>
  <si>
    <t>Motor a příslušenství</t>
  </si>
  <si>
    <t>Cena za m2</t>
  </si>
  <si>
    <t>Tahokov</t>
  </si>
  <si>
    <t>Sloupek samostojný</t>
  </si>
  <si>
    <t>vzdálenost  Chodov - do místa určení km</t>
  </si>
  <si>
    <t>Plech</t>
  </si>
  <si>
    <t>Cena výplně za m2</t>
  </si>
  <si>
    <t>tyčky AL</t>
  </si>
  <si>
    <t>Cena základní konstrukce</t>
  </si>
  <si>
    <t>váha kg/m</t>
  </si>
  <si>
    <t>Cena kg/ks</t>
  </si>
  <si>
    <t>spotřeba v kg</t>
  </si>
  <si>
    <t>spodní vodící profil 56x56x3</t>
  </si>
  <si>
    <t>vrchní vodící profil 56x56x3</t>
  </si>
  <si>
    <t>L profil 40 x 40 x 2</t>
  </si>
  <si>
    <t>sloupky v bráně 56x56x3</t>
  </si>
  <si>
    <t>spodní vodící profil Klima</t>
  </si>
  <si>
    <t>příčné spojníky v poli 35x35x2</t>
  </si>
  <si>
    <t>plotna</t>
  </si>
  <si>
    <t>Kolečka</t>
  </si>
  <si>
    <t>Dorazový sloupek 56x56x3</t>
  </si>
  <si>
    <t>spodní úchyt doraz. Sloupku 3 mm plech</t>
  </si>
  <si>
    <t>Vrchní úchyt doraz. Sloupku 3 mm plech</t>
  </si>
  <si>
    <t>držák kolečka /profil na sklo Klima)</t>
  </si>
  <si>
    <t>podstavec pro motor 49x49x3</t>
  </si>
  <si>
    <t>uchycení vodícího kolečka</t>
  </si>
  <si>
    <t>Kolečko při dorazu brány spodní</t>
  </si>
  <si>
    <t>vedlejší režijní náklady</t>
  </si>
  <si>
    <t>Prořez</t>
  </si>
  <si>
    <t>Práce</t>
  </si>
  <si>
    <t>Výplň</t>
  </si>
  <si>
    <t>vnitropodniková doprava</t>
  </si>
  <si>
    <t>Celkem přímé náklady</t>
  </si>
  <si>
    <t>Režie firmy</t>
  </si>
  <si>
    <t>Lakování odhad</t>
  </si>
  <si>
    <t>Celková náklady</t>
  </si>
  <si>
    <t>Zisk</t>
  </si>
  <si>
    <t>Prodejní cena konstrukce</t>
  </si>
  <si>
    <t>Motor</t>
  </si>
  <si>
    <t>přepravní náklady na motor</t>
  </si>
  <si>
    <t>Dodání s motorem EXW Karlovy Vary</t>
  </si>
  <si>
    <t>Montážní práce</t>
  </si>
  <si>
    <t>Montážní materiál</t>
  </si>
  <si>
    <t>Zisk z montáže</t>
  </si>
  <si>
    <t>Celkem montáž</t>
  </si>
  <si>
    <t>Dodávka na klíč bez DPH</t>
  </si>
  <si>
    <t>Cena za m2 s montáží</t>
  </si>
  <si>
    <t>čistý vjezd</t>
  </si>
  <si>
    <t>výška brány</t>
  </si>
  <si>
    <t>celková délka brány</t>
  </si>
  <si>
    <t>počet svislých sloupků v bráně</t>
  </si>
  <si>
    <t>https://www.epohony.cz/
https://www.kovopolotovary.cz/pohony-bran-vrat-dveri/c2678/</t>
  </si>
  <si>
    <t>vložka zámek 55 mm
https://www.kovopolotovary.cz/?search=vlo%C5%Beka</t>
  </si>
  <si>
    <t>lamely Al</t>
  </si>
  <si>
    <t>Ploty,  vrata, branky, panty
www.svarujemehlinik.cz</t>
  </si>
  <si>
    <t>M.Jaidler@blecha.at</t>
  </si>
  <si>
    <t>PROTIKUS PANTU BRANKA, průměr otvoru 15,3</t>
  </si>
  <si>
    <t>Hart Karel</t>
  </si>
  <si>
    <t>zaměření</t>
  </si>
  <si>
    <t>montáž</t>
  </si>
  <si>
    <t>doprava</t>
  </si>
  <si>
    <t xml:space="preserve">Balkony,s.r.o, </t>
  </si>
  <si>
    <t>krisztian.kovacs@alustrem.hu</t>
  </si>
  <si>
    <t>http://www.alustrem.hu/</t>
  </si>
  <si>
    <t>díly na ploty</t>
  </si>
  <si>
    <t>Doprava 17 Kč/km</t>
  </si>
  <si>
    <t>výroba, montáž</t>
  </si>
  <si>
    <t>Branka bez kování</t>
  </si>
  <si>
    <t>Kování</t>
  </si>
  <si>
    <t>Rozpočet plot prodejní ceny- okenicový plot</t>
  </si>
  <si>
    <t>výška</t>
  </si>
  <si>
    <t>šířka</t>
  </si>
  <si>
    <t>Cena m2</t>
  </si>
  <si>
    <t>počet m2/bm</t>
  </si>
  <si>
    <t>Motor pro závěsnou bránu</t>
  </si>
  <si>
    <t>Typ plotu</t>
  </si>
  <si>
    <t>Okenicový</t>
  </si>
  <si>
    <t>Plné výplně</t>
  </si>
  <si>
    <t>Sklo</t>
  </si>
  <si>
    <t>sloupky</t>
  </si>
  <si>
    <t>plotny na 
sloupek</t>
  </si>
  <si>
    <t>160x160x8</t>
  </si>
  <si>
    <t xml:space="preserve">NEREZ PANT -  brána
/šroub iso7380 M10 nerezu dřík 15 mm, délka 50 mm/, cena 5,5 kč
</t>
  </si>
  <si>
    <t xml:space="preserve">NEREZ PANT - VRÁTKA 
/šroub iso7380 M10 nerezu dřík 15 mm, délka 50 mm/, cena 5,5 kč
</t>
  </si>
  <si>
    <t>Palubkový 
vodorovný</t>
  </si>
  <si>
    <t>Přímé náklady materiál</t>
  </si>
  <si>
    <t xml:space="preserve">Práce svařování </t>
  </si>
  <si>
    <t>Zaměření</t>
  </si>
  <si>
    <t>přesuny hmot</t>
  </si>
  <si>
    <t xml:space="preserve">doprava ze Sokolova -materiálu </t>
  </si>
  <si>
    <t>Vzdálenost od Sokolova</t>
  </si>
  <si>
    <t>Celkem náklady</t>
  </si>
  <si>
    <t>Režie</t>
  </si>
  <si>
    <t>Montáž</t>
  </si>
  <si>
    <t>Celkem bez dph</t>
  </si>
  <si>
    <t>Cena s DPH</t>
  </si>
  <si>
    <t>Křídlová brána</t>
  </si>
  <si>
    <t>https://www.kovopolotovary.cz/nerezova-dverni-koule-212-va-d-s-ovalnou-rozetou-do-uhlu-sklopna-d9731.htm</t>
  </si>
  <si>
    <t>KOVÁNÍ S KLIKOU
sklopná</t>
  </si>
  <si>
    <t>Kování s klikou  - nesklopná</t>
  </si>
  <si>
    <t>https://www.kovopolotovary.cz/zamkovy-nerezovy-stitek-krytka-vlozky-207-va-60x30-mm-d9735.htm</t>
  </si>
  <si>
    <t>https://www.kovopolotovary.cz/nerezova-dverni-koule-212-va-f-s-ovalnou-rozetou-do-uhlu-bez-moznosti-stisku-kliky-d9732.htm</t>
  </si>
  <si>
    <t>štítek</t>
  </si>
  <si>
    <t>https://www.kovopolotovary.cz/zadlabaci-zamek-pro-dvere-branku-a-vrata-euro-svs9035-roztec-90-mm-zadlab-50-mm-d10141.htm</t>
  </si>
  <si>
    <t>roteč 90</t>
  </si>
  <si>
    <t>https://www.kovopolotovary.cz/fab-50d4040-stavebni-cylindricka-vlozka-mosazna-4040-mm-3x-klic-1bezpecnostni-trida-d12120.htm</t>
  </si>
  <si>
    <t>https://www.kovopolotovary.cz/mul-t-lock-e7-d1-zadlabaci-elektromechanicky-zamek-8-16-v-acdc-pro-branky-a-dvere-d11384.htm</t>
  </si>
  <si>
    <t>https://www.kliky-schranky.cz/koule-/1454-onyx-klika-koule-nerez.html#/108-orientace_kliky-leva/98-orientace_koule-pevna</t>
  </si>
  <si>
    <t>kování- volitelné</t>
  </si>
  <si>
    <t>https://www.kliky-schranky.cz/samostatne-stity-hranate/951-dolni-stit-na-vlozku-hranaty-nerez.html</t>
  </si>
  <si>
    <t>cena EUR</t>
  </si>
  <si>
    <t>cena</t>
  </si>
  <si>
    <t>odkaz</t>
  </si>
  <si>
    <t>50-200</t>
  </si>
  <si>
    <t>2-15 dílů</t>
  </si>
  <si>
    <t>https://www.ebay.de/itm/Alu-Zaun-Aluminium-Gelander-Sichtschutz-Windschutz-Zaunelement-GARTENZAUN/282058858204?_trkparms=ispr%3D1&amp;hash=item41ac049edc:m:mNBzc6259WNhtiblaK_KZUA</t>
  </si>
  <si>
    <t>145 / m2</t>
  </si>
  <si>
    <t>https://www.ebay.de/itm/Aluminiumzaun-Alu-Zaun-Aluzaune-Profile-180-100-mm-Neu-Qualitat-Hersteller/283461758723?_trkparms=ispr%3D1&amp;hash=item41ffa32f03:g:ebkAAOSwSv9cwEJz</t>
  </si>
  <si>
    <t>https://www.willhaben.at/iad/kaufen-und-verkaufen/d/komplett-einfriedungen-aluminium-zaun-geschmiedete-zaun-doppelstabmattenzaun-maschendraht-zaun-245346596/</t>
  </si>
  <si>
    <t>https://www.alu-home.de/online-shop/aluminium-zaun-sichtschutz/</t>
  </si>
  <si>
    <t>https://www.guardi.at/produkte/zaeune/aluzaeune/trento</t>
  </si>
  <si>
    <t>https://www.guardi.at/produkte/zaeune/aluzaeune/nouveau</t>
  </si>
  <si>
    <t>https://www.guardi.at/produkte/zaeune/aluzaeune/triest</t>
  </si>
  <si>
    <t>umíme vyrobit, nabízejí plankové ploty AL, my umíme i okenicové ploty</t>
  </si>
  <si>
    <t>CZK/eur</t>
  </si>
  <si>
    <t>naše cena EUR</t>
  </si>
  <si>
    <t>to jsou moc pěkné ploty, zatím neumím vyrobit, zeptejte se na palubky jako zákazník jaké jsou rozměry</t>
  </si>
  <si>
    <t>pěkné stránky , možná do budoucna začít je připravotat, umíme vyrobit</t>
  </si>
  <si>
    <t>pěkné stránky , možná do budoucna začít je připravotat, umíme vyrobit cenu 97 eur jsem nenašel</t>
  </si>
  <si>
    <t>neumíme, je to opět pěkný plot, musím sehnat profily  120, 150, 200 x 19 mm -jekl</t>
  </si>
  <si>
    <t>náklady na plto jsou</t>
  </si>
  <si>
    <t>eur</t>
  </si>
  <si>
    <t>czk</t>
  </si>
  <si>
    <t>Dear Karel,</t>
  </si>
  <si>
    <t>Please find the price of molds for your dimensions below.</t>
  </si>
  <si>
    <t>120x19x3 mm  1350 USD</t>
  </si>
  <si>
    <t>150x19x3 mm  2770 USD</t>
  </si>
  <si>
    <t>200x19x3 mm  3825 USD</t>
  </si>
  <si>
    <t>cena CZK</t>
  </si>
  <si>
    <t>USD</t>
  </si>
  <si>
    <t>https://www.p-mont.cz/hlinikove-ploty/#hpc (novum/Future)</t>
  </si>
  <si>
    <t>https://www.eurobyt-cb.cz/sortiment-montaze/hlinikove-brany-a-ploty (Rand)</t>
  </si>
  <si>
    <t>https://www.presto-pv.cz/ploty/</t>
  </si>
  <si>
    <t>http://www.guardi.cz/ploty/hlinikove/nouveau.html</t>
  </si>
  <si>
    <t>http://www.plotypelouch.cz/vyroba-a-sluzby-detail/hlinikove-ploty/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</si>
</sst>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_-* #,##0\ &quot;Kč&quot;_-;\-* #,##0\ &quot;Kč&quot;_-;_-* &quot;-&quot;??\ &quot;Kč&quot;_-;_-@_-"/>
    <numFmt numFmtId="166" formatCode="0.0"/>
    <numFmt numFmtId="167" formatCode="0.0%"/>
    <numFmt numFmtId="168" formatCode="_-* #,##0\ [$Kč-405]_-;\-* #,##0\ [$Kč-405]_-;_-* &quot;-&quot;??\ [$Kč-405]_-;_-@_-"/>
    <numFmt numFmtId="169" formatCode="_-* #,##0\ _K_č_-;\-* #,##0\ _K_č_-;_-* &quot;-&quot;??\ _K_č_-;_-@_-"/>
  </numFmts>
  <fonts count="44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 CE"/>
      <charset val="238"/>
    </font>
    <font>
      <u/>
      <sz val="10"/>
      <color indexed="12"/>
      <name val="Arial CE"/>
      <charset val="238"/>
    </font>
    <font>
      <u/>
      <sz val="14"/>
      <color indexed="12"/>
      <name val="Arial CE"/>
      <charset val="238"/>
    </font>
    <font>
      <u/>
      <sz val="11"/>
      <color theme="10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0"/>
      <name val="Arial"/>
      <family val="2"/>
      <charset val="238"/>
    </font>
    <font>
      <sz val="10"/>
      <name val="Century Gothic"/>
      <family val="2"/>
    </font>
    <font>
      <sz val="9"/>
      <color rgb="FFFF0000"/>
      <name val="Century Gothic"/>
      <family val="2"/>
    </font>
    <font>
      <sz val="8"/>
      <name val="Century Gothic"/>
      <family val="2"/>
    </font>
    <font>
      <u/>
      <sz val="10"/>
      <color theme="10"/>
      <name val="Arial"/>
      <family val="2"/>
    </font>
    <font>
      <b/>
      <sz val="10"/>
      <color rgb="FF000099"/>
      <name val="Century Gothic"/>
      <family val="2"/>
    </font>
    <font>
      <i/>
      <sz val="8"/>
      <name val="Century Gothic"/>
      <family val="2"/>
    </font>
    <font>
      <i/>
      <sz val="9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b/>
      <sz val="10"/>
      <name val="Century Gothic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20"/>
      <color theme="0"/>
      <name val="Century Gothic"/>
      <family val="2"/>
    </font>
    <font>
      <b/>
      <sz val="11"/>
      <color theme="1"/>
      <name val="Calibri"/>
      <family val="2"/>
      <charset val="238"/>
      <scheme val="minor"/>
    </font>
    <font>
      <b/>
      <sz val="16"/>
      <color theme="3" tint="0.39997558519241921"/>
      <name val="Arial CE"/>
      <charset val="238"/>
    </font>
    <font>
      <i/>
      <sz val="10"/>
      <name val="Arial CE"/>
      <charset val="238"/>
    </font>
    <font>
      <b/>
      <sz val="14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10"/>
      <name val="Tahoma"/>
      <family val="2"/>
      <charset val="238"/>
    </font>
    <font>
      <sz val="10"/>
      <name val="Tahoma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002E8A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/>
      <bottom/>
      <diagonal/>
    </border>
  </borders>
  <cellStyleXfs count="22">
    <xf numFmtId="0" fontId="0" fillId="0" borderId="0"/>
    <xf numFmtId="44" fontId="7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3" fillId="0" borderId="0"/>
    <xf numFmtId="0" fontId="7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" fillId="0" borderId="0"/>
    <xf numFmtId="0" fontId="32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199">
    <xf numFmtId="0" fontId="0" fillId="0" borderId="0" xfId="0"/>
    <xf numFmtId="165" fontId="0" fillId="0" borderId="0" xfId="1" applyNumberFormat="1" applyFont="1"/>
    <xf numFmtId="0" fontId="0" fillId="0" borderId="1" xfId="0" applyBorder="1"/>
    <xf numFmtId="165" fontId="0" fillId="0" borderId="1" xfId="1" applyNumberFormat="1" applyFont="1" applyBorder="1"/>
    <xf numFmtId="165" fontId="0" fillId="0" borderId="0" xfId="0" applyNumberFormat="1"/>
    <xf numFmtId="0" fontId="0" fillId="0" borderId="1" xfId="0" applyBorder="1" applyAlignment="1">
      <alignment wrapText="1"/>
    </xf>
    <xf numFmtId="0" fontId="14" fillId="0" borderId="0" xfId="15"/>
    <xf numFmtId="0" fontId="15" fillId="0" borderId="0" xfId="15" applyFont="1"/>
    <xf numFmtId="0" fontId="15" fillId="0" borderId="0" xfId="15" applyFont="1" applyAlignment="1">
      <alignment horizontal="center"/>
    </xf>
    <xf numFmtId="2" fontId="16" fillId="0" borderId="0" xfId="15" applyNumberFormat="1" applyFont="1" applyAlignment="1">
      <alignment horizontal="right"/>
    </xf>
    <xf numFmtId="2" fontId="15" fillId="0" borderId="0" xfId="15" applyNumberFormat="1" applyFont="1" applyAlignment="1">
      <alignment horizontal="center"/>
    </xf>
    <xf numFmtId="2" fontId="15" fillId="0" borderId="0" xfId="15" applyNumberFormat="1" applyFont="1" applyAlignment="1">
      <alignment horizontal="left"/>
    </xf>
    <xf numFmtId="0" fontId="17" fillId="0" borderId="0" xfId="15" applyFont="1" applyAlignment="1">
      <alignment horizontal="left"/>
    </xf>
    <xf numFmtId="0" fontId="19" fillId="0" borderId="0" xfId="15" applyFont="1" applyAlignment="1">
      <alignment horizontal="right"/>
    </xf>
    <xf numFmtId="0" fontId="19" fillId="0" borderId="0" xfId="15" applyFont="1"/>
    <xf numFmtId="0" fontId="19" fillId="0" borderId="0" xfId="15" applyFont="1" applyAlignment="1">
      <alignment horizontal="left"/>
    </xf>
    <xf numFmtId="0" fontId="20" fillId="0" borderId="0" xfId="15" applyFont="1"/>
    <xf numFmtId="2" fontId="22" fillId="0" borderId="3" xfId="15" applyNumberFormat="1" applyFont="1" applyBorder="1" applyAlignment="1">
      <alignment horizontal="right"/>
    </xf>
    <xf numFmtId="2" fontId="22" fillId="0" borderId="3" xfId="15" applyNumberFormat="1" applyFont="1" applyBorder="1" applyAlignment="1">
      <alignment horizontal="center"/>
    </xf>
    <xf numFmtId="0" fontId="22" fillId="0" borderId="4" xfId="15" applyFont="1" applyBorder="1"/>
    <xf numFmtId="0" fontId="22" fillId="0" borderId="5" xfId="15" applyFont="1" applyBorder="1"/>
    <xf numFmtId="2" fontId="22" fillId="0" borderId="6" xfId="15" applyNumberFormat="1" applyFont="1" applyBorder="1" applyAlignment="1">
      <alignment horizontal="right"/>
    </xf>
    <xf numFmtId="2" fontId="22" fillId="0" borderId="6" xfId="15" applyNumberFormat="1" applyFont="1" applyBorder="1" applyAlignment="1">
      <alignment horizontal="center"/>
    </xf>
    <xf numFmtId="0" fontId="22" fillId="0" borderId="7" xfId="15" applyFont="1" applyBorder="1"/>
    <xf numFmtId="0" fontId="22" fillId="0" borderId="8" xfId="15" applyFont="1" applyBorder="1"/>
    <xf numFmtId="0" fontId="23" fillId="0" borderId="0" xfId="15" applyFont="1"/>
    <xf numFmtId="0" fontId="16" fillId="0" borderId="0" xfId="15" applyFont="1"/>
    <xf numFmtId="2" fontId="22" fillId="0" borderId="6" xfId="15" applyNumberFormat="1" applyFont="1" applyBorder="1"/>
    <xf numFmtId="2" fontId="24" fillId="0" borderId="9" xfId="15" applyNumberFormat="1" applyFont="1" applyBorder="1" applyAlignment="1">
      <alignment horizontal="center"/>
    </xf>
    <xf numFmtId="0" fontId="24" fillId="0" borderId="9" xfId="15" applyFont="1" applyBorder="1" applyAlignment="1">
      <alignment horizontal="center"/>
    </xf>
    <xf numFmtId="0" fontId="24" fillId="0" borderId="10" xfId="15" applyFont="1" applyBorder="1" applyAlignment="1">
      <alignment horizontal="left"/>
    </xf>
    <xf numFmtId="0" fontId="24" fillId="0" borderId="11" xfId="15" applyFont="1" applyBorder="1" applyAlignment="1">
      <alignment horizontal="left"/>
    </xf>
    <xf numFmtId="0" fontId="22" fillId="0" borderId="7" xfId="15" applyFont="1" applyBorder="1" applyAlignment="1">
      <alignment horizontal="left"/>
    </xf>
    <xf numFmtId="2" fontId="22" fillId="0" borderId="12" xfId="15" applyNumberFormat="1" applyFont="1" applyBorder="1" applyAlignment="1">
      <alignment horizontal="center"/>
    </xf>
    <xf numFmtId="0" fontId="22" fillId="0" borderId="13" xfId="15" applyFont="1" applyBorder="1"/>
    <xf numFmtId="0" fontId="24" fillId="0" borderId="14" xfId="15" applyFont="1" applyBorder="1" applyAlignment="1">
      <alignment horizontal="left"/>
    </xf>
    <xf numFmtId="0" fontId="24" fillId="0" borderId="15" xfId="15" applyFont="1" applyBorder="1" applyAlignment="1">
      <alignment horizontal="left"/>
    </xf>
    <xf numFmtId="2" fontId="22" fillId="0" borderId="16" xfId="15" applyNumberFormat="1" applyFont="1" applyBorder="1" applyAlignment="1">
      <alignment horizontal="right"/>
    </xf>
    <xf numFmtId="0" fontId="22" fillId="0" borderId="17" xfId="15" applyFont="1" applyBorder="1"/>
    <xf numFmtId="0" fontId="22" fillId="0" borderId="18" xfId="15" applyFont="1" applyBorder="1"/>
    <xf numFmtId="0" fontId="25" fillId="0" borderId="0" xfId="15" applyFont="1"/>
    <xf numFmtId="2" fontId="16" fillId="0" borderId="0" xfId="15" applyNumberFormat="1" applyFont="1" applyAlignment="1">
      <alignment horizontal="left"/>
    </xf>
    <xf numFmtId="2" fontId="22" fillId="0" borderId="19" xfId="15" applyNumberFormat="1" applyFont="1" applyBorder="1" applyAlignment="1">
      <alignment horizontal="right"/>
    </xf>
    <xf numFmtId="0" fontId="24" fillId="0" borderId="20" xfId="15" applyFont="1" applyBorder="1" applyAlignment="1">
      <alignment horizontal="center"/>
    </xf>
    <xf numFmtId="0" fontId="22" fillId="0" borderId="13" xfId="15" applyFont="1" applyBorder="1" applyAlignment="1">
      <alignment horizontal="left"/>
    </xf>
    <xf numFmtId="0" fontId="22" fillId="0" borderId="12" xfId="15" applyFont="1" applyBorder="1" applyAlignment="1">
      <alignment horizontal="center"/>
    </xf>
    <xf numFmtId="0" fontId="23" fillId="0" borderId="0" xfId="15" applyFont="1" applyAlignment="1">
      <alignment horizontal="left"/>
    </xf>
    <xf numFmtId="0" fontId="16" fillId="0" borderId="0" xfId="15" applyFont="1" applyAlignment="1">
      <alignment horizontal="left"/>
    </xf>
    <xf numFmtId="0" fontId="22" fillId="0" borderId="8" xfId="15" applyFont="1" applyBorder="1" applyAlignment="1">
      <alignment horizontal="left"/>
    </xf>
    <xf numFmtId="0" fontId="26" fillId="0" borderId="0" xfId="15" applyFont="1" applyAlignment="1">
      <alignment horizontal="left"/>
    </xf>
    <xf numFmtId="2" fontId="22" fillId="0" borderId="21" xfId="15" applyNumberFormat="1" applyFont="1" applyBorder="1" applyAlignment="1">
      <alignment horizontal="right"/>
    </xf>
    <xf numFmtId="0" fontId="22" fillId="0" borderId="22" xfId="15" applyFont="1" applyBorder="1" applyAlignment="1">
      <alignment horizontal="center"/>
    </xf>
    <xf numFmtId="0" fontId="22" fillId="0" borderId="23" xfId="15" applyFont="1" applyBorder="1" applyAlignment="1">
      <alignment horizontal="left"/>
    </xf>
    <xf numFmtId="0" fontId="22" fillId="0" borderId="24" xfId="15" applyFont="1" applyBorder="1" applyAlignment="1">
      <alignment horizontal="left"/>
    </xf>
    <xf numFmtId="0" fontId="15" fillId="0" borderId="0" xfId="15" applyFont="1" applyAlignment="1">
      <alignment horizontal="left"/>
    </xf>
    <xf numFmtId="0" fontId="9" fillId="0" borderId="0" xfId="2" applyAlignment="1" applyProtection="1">
      <alignment horizontal="center"/>
    </xf>
    <xf numFmtId="0" fontId="9" fillId="0" borderId="0" xfId="2" applyAlignment="1" applyProtection="1">
      <alignment horizontal="left"/>
    </xf>
    <xf numFmtId="0" fontId="0" fillId="0" borderId="27" xfId="0" applyBorder="1"/>
    <xf numFmtId="0" fontId="0" fillId="0" borderId="29" xfId="0" applyBorder="1"/>
    <xf numFmtId="0" fontId="0" fillId="0" borderId="30" xfId="0" applyBorder="1"/>
    <xf numFmtId="0" fontId="5" fillId="0" borderId="0" xfId="17"/>
    <xf numFmtId="0" fontId="4" fillId="0" borderId="0" xfId="17" applyFont="1"/>
    <xf numFmtId="0" fontId="28" fillId="0" borderId="0" xfId="17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9" fillId="0" borderId="1" xfId="2" applyBorder="1" applyAlignment="1" applyProtection="1">
      <alignment horizontal="center" vertical="center" wrapText="1"/>
    </xf>
    <xf numFmtId="0" fontId="30" fillId="0" borderId="1" xfId="0" applyFont="1" applyBorder="1"/>
    <xf numFmtId="0" fontId="10" fillId="0" borderId="1" xfId="2" applyFont="1" applyBorder="1" applyAlignment="1" applyProtection="1">
      <alignment horizontal="center" vertical="center"/>
    </xf>
    <xf numFmtId="0" fontId="9" fillId="0" borderId="1" xfId="2" applyBorder="1" applyAlignment="1" applyProtection="1">
      <alignment horizontal="center" vertical="center"/>
    </xf>
    <xf numFmtId="0" fontId="3" fillId="0" borderId="0" xfId="18"/>
    <xf numFmtId="166" fontId="3" fillId="0" borderId="0" xfId="18" applyNumberFormat="1"/>
    <xf numFmtId="0" fontId="32" fillId="0" borderId="0" xfId="19"/>
    <xf numFmtId="0" fontId="3" fillId="0" borderId="33" xfId="18" applyBorder="1"/>
    <xf numFmtId="0" fontId="3" fillId="4" borderId="34" xfId="18" applyFill="1" applyBorder="1" applyAlignment="1">
      <alignment horizontal="center"/>
    </xf>
    <xf numFmtId="0" fontId="3" fillId="0" borderId="35" xfId="18" applyBorder="1"/>
    <xf numFmtId="0" fontId="3" fillId="0" borderId="31" xfId="18" applyBorder="1"/>
    <xf numFmtId="166" fontId="3" fillId="0" borderId="32" xfId="18" applyNumberFormat="1" applyBorder="1"/>
    <xf numFmtId="0" fontId="3" fillId="0" borderId="36" xfId="18" applyBorder="1"/>
    <xf numFmtId="0" fontId="3" fillId="4" borderId="37" xfId="18" applyFill="1" applyBorder="1" applyAlignment="1">
      <alignment horizontal="center"/>
    </xf>
    <xf numFmtId="0" fontId="3" fillId="0" borderId="38" xfId="18" applyBorder="1"/>
    <xf numFmtId="0" fontId="3" fillId="0" borderId="1" xfId="18" applyBorder="1"/>
    <xf numFmtId="166" fontId="3" fillId="0" borderId="27" xfId="18" applyNumberFormat="1" applyBorder="1"/>
    <xf numFmtId="0" fontId="3" fillId="5" borderId="1" xfId="18" applyFill="1" applyBorder="1"/>
    <xf numFmtId="166" fontId="3" fillId="5" borderId="27" xfId="18" applyNumberFormat="1" applyFill="1" applyBorder="1"/>
    <xf numFmtId="0" fontId="3" fillId="4" borderId="41" xfId="18" applyFill="1" applyBorder="1" applyAlignment="1">
      <alignment horizontal="center"/>
    </xf>
    <xf numFmtId="0" fontId="3" fillId="4" borderId="9" xfId="18" applyFill="1" applyBorder="1" applyAlignment="1">
      <alignment horizontal="center"/>
    </xf>
    <xf numFmtId="0" fontId="3" fillId="0" borderId="26" xfId="18" applyBorder="1"/>
    <xf numFmtId="0" fontId="3" fillId="0" borderId="42" xfId="18" applyBorder="1"/>
    <xf numFmtId="9" fontId="3" fillId="0" borderId="1" xfId="18" applyNumberFormat="1" applyBorder="1"/>
    <xf numFmtId="0" fontId="33" fillId="0" borderId="0" xfId="18" applyFont="1"/>
    <xf numFmtId="167" fontId="0" fillId="0" borderId="0" xfId="20" applyNumberFormat="1" applyFont="1"/>
    <xf numFmtId="0" fontId="28" fillId="0" borderId="26" xfId="18" applyFont="1" applyBorder="1"/>
    <xf numFmtId="0" fontId="28" fillId="0" borderId="1" xfId="18" applyFont="1" applyBorder="1"/>
    <xf numFmtId="166" fontId="28" fillId="0" borderId="27" xfId="18" applyNumberFormat="1" applyFont="1" applyBorder="1"/>
    <xf numFmtId="0" fontId="34" fillId="0" borderId="26" xfId="18" applyFont="1" applyBorder="1"/>
    <xf numFmtId="0" fontId="34" fillId="0" borderId="1" xfId="18" applyFont="1" applyBorder="1"/>
    <xf numFmtId="166" fontId="34" fillId="0" borderId="27" xfId="18" applyNumberFormat="1" applyFont="1" applyBorder="1"/>
    <xf numFmtId="0" fontId="34" fillId="0" borderId="0" xfId="18" applyFont="1"/>
    <xf numFmtId="0" fontId="34" fillId="6" borderId="26" xfId="18" applyFont="1" applyFill="1" applyBorder="1"/>
    <xf numFmtId="0" fontId="34" fillId="6" borderId="1" xfId="18" applyFont="1" applyFill="1" applyBorder="1"/>
    <xf numFmtId="166" fontId="34" fillId="6" borderId="27" xfId="18" applyNumberFormat="1" applyFont="1" applyFill="1" applyBorder="1"/>
    <xf numFmtId="0" fontId="28" fillId="0" borderId="0" xfId="18" applyFont="1"/>
    <xf numFmtId="0" fontId="3" fillId="6" borderId="26" xfId="18" applyFill="1" applyBorder="1"/>
    <xf numFmtId="0" fontId="3" fillId="6" borderId="1" xfId="18" applyFill="1" applyBorder="1"/>
    <xf numFmtId="2" fontId="3" fillId="6" borderId="1" xfId="18" applyNumberFormat="1" applyFill="1" applyBorder="1"/>
    <xf numFmtId="166" fontId="3" fillId="6" borderId="27" xfId="18" applyNumberFormat="1" applyFill="1" applyBorder="1"/>
    <xf numFmtId="2" fontId="3" fillId="0" borderId="1" xfId="18" applyNumberFormat="1" applyBorder="1"/>
    <xf numFmtId="0" fontId="3" fillId="4" borderId="1" xfId="18" applyFill="1" applyBorder="1" applyAlignment="1">
      <alignment horizontal="center"/>
    </xf>
    <xf numFmtId="0" fontId="3" fillId="0" borderId="28" xfId="18" applyBorder="1"/>
    <xf numFmtId="0" fontId="3" fillId="4" borderId="29" xfId="18" applyFill="1" applyBorder="1" applyAlignment="1">
      <alignment horizontal="center"/>
    </xf>
    <xf numFmtId="0" fontId="3" fillId="0" borderId="29" xfId="18" applyBorder="1"/>
    <xf numFmtId="2" fontId="3" fillId="0" borderId="29" xfId="18" applyNumberFormat="1" applyBorder="1"/>
    <xf numFmtId="166" fontId="3" fillId="0" borderId="30" xfId="18" applyNumberFormat="1" applyBorder="1"/>
    <xf numFmtId="2" fontId="3" fillId="0" borderId="0" xfId="18" applyNumberFormat="1"/>
    <xf numFmtId="0" fontId="35" fillId="0" borderId="0" xfId="18" applyFont="1"/>
    <xf numFmtId="0" fontId="36" fillId="0" borderId="0" xfId="18" applyFont="1"/>
    <xf numFmtId="2" fontId="36" fillId="0" borderId="0" xfId="18" applyNumberFormat="1" applyFont="1"/>
    <xf numFmtId="0" fontId="32" fillId="0" borderId="1" xfId="19" applyBorder="1" applyAlignment="1">
      <alignment wrapText="1"/>
    </xf>
    <xf numFmtId="0" fontId="30" fillId="0" borderId="0" xfId="0" applyFont="1"/>
    <xf numFmtId="0" fontId="39" fillId="0" borderId="0" xfId="0" applyFont="1"/>
    <xf numFmtId="0" fontId="40" fillId="0" borderId="0" xfId="0" applyFont="1"/>
    <xf numFmtId="14" fontId="0" fillId="0" borderId="1" xfId="0" applyNumberFormat="1" applyBorder="1"/>
    <xf numFmtId="0" fontId="0" fillId="4" borderId="9" xfId="0" applyFill="1" applyBorder="1" applyAlignment="1">
      <alignment horizontal="center" vertical="center"/>
    </xf>
    <xf numFmtId="166" fontId="2" fillId="0" borderId="27" xfId="18" applyNumberFormat="1" applyFont="1" applyBorder="1"/>
    <xf numFmtId="0" fontId="2" fillId="0" borderId="26" xfId="18" applyFont="1" applyBorder="1"/>
    <xf numFmtId="0" fontId="2" fillId="0" borderId="0" xfId="18" applyFont="1"/>
    <xf numFmtId="0" fontId="0" fillId="0" borderId="47" xfId="0" applyBorder="1"/>
    <xf numFmtId="165" fontId="0" fillId="0" borderId="47" xfId="1" applyNumberFormat="1" applyFont="1" applyBorder="1"/>
    <xf numFmtId="0" fontId="0" fillId="0" borderId="42" xfId="0" applyBorder="1"/>
    <xf numFmtId="165" fontId="0" fillId="0" borderId="42" xfId="1" applyNumberFormat="1" applyFont="1" applyBorder="1"/>
    <xf numFmtId="0" fontId="0" fillId="0" borderId="48" xfId="0" applyBorder="1"/>
    <xf numFmtId="0" fontId="0" fillId="0" borderId="31" xfId="0" applyBorder="1"/>
    <xf numFmtId="165" fontId="0" fillId="0" borderId="31" xfId="1" applyNumberFormat="1" applyFont="1" applyBorder="1"/>
    <xf numFmtId="165" fontId="0" fillId="0" borderId="32" xfId="0" applyNumberFormat="1" applyBorder="1"/>
    <xf numFmtId="0" fontId="0" fillId="0" borderId="26" xfId="0" applyBorder="1"/>
    <xf numFmtId="165" fontId="0" fillId="0" borderId="27" xfId="0" applyNumberFormat="1" applyBorder="1"/>
    <xf numFmtId="0" fontId="0" fillId="0" borderId="28" xfId="0" applyBorder="1"/>
    <xf numFmtId="165" fontId="0" fillId="0" borderId="29" xfId="1" applyNumberFormat="1" applyFont="1" applyBorder="1"/>
    <xf numFmtId="165" fontId="0" fillId="0" borderId="30" xfId="0" applyNumberFormat="1" applyBorder="1"/>
    <xf numFmtId="0" fontId="0" fillId="4" borderId="1" xfId="0" applyFill="1" applyBorder="1"/>
    <xf numFmtId="0" fontId="0" fillId="4" borderId="31" xfId="0" applyFill="1" applyBorder="1"/>
    <xf numFmtId="0" fontId="0" fillId="4" borderId="29" xfId="0" applyFill="1" applyBorder="1"/>
    <xf numFmtId="1" fontId="0" fillId="0" borderId="1" xfId="0" applyNumberFormat="1" applyBorder="1"/>
    <xf numFmtId="2" fontId="0" fillId="0" borderId="1" xfId="0" applyNumberFormat="1" applyBorder="1"/>
    <xf numFmtId="0" fontId="0" fillId="0" borderId="49" xfId="0" applyBorder="1"/>
    <xf numFmtId="0" fontId="0" fillId="4" borderId="47" xfId="0" applyFill="1" applyBorder="1"/>
    <xf numFmtId="0" fontId="0" fillId="0" borderId="50" xfId="0" applyBorder="1"/>
    <xf numFmtId="0" fontId="0" fillId="0" borderId="51" xfId="0" applyBorder="1"/>
    <xf numFmtId="165" fontId="0" fillId="0" borderId="51" xfId="1" applyNumberFormat="1" applyFont="1" applyBorder="1"/>
    <xf numFmtId="0" fontId="0" fillId="0" borderId="53" xfId="0" applyBorder="1"/>
    <xf numFmtId="0" fontId="0" fillId="0" borderId="55" xfId="0" applyBorder="1"/>
    <xf numFmtId="0" fontId="0" fillId="4" borderId="42" xfId="0" applyFill="1" applyBorder="1"/>
    <xf numFmtId="165" fontId="0" fillId="0" borderId="56" xfId="0" applyNumberFormat="1" applyBorder="1"/>
    <xf numFmtId="0" fontId="0" fillId="0" borderId="48" xfId="0" applyBorder="1" applyAlignment="1">
      <alignment vertical="center"/>
    </xf>
    <xf numFmtId="0" fontId="0" fillId="0" borderId="31" xfId="0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0" fillId="0" borderId="32" xfId="0" applyBorder="1"/>
    <xf numFmtId="0" fontId="0" fillId="0" borderId="57" xfId="0" applyBorder="1"/>
    <xf numFmtId="0" fontId="0" fillId="0" borderId="2" xfId="0" applyBorder="1"/>
    <xf numFmtId="165" fontId="0" fillId="0" borderId="2" xfId="1" applyNumberFormat="1" applyFont="1" applyBorder="1"/>
    <xf numFmtId="165" fontId="0" fillId="0" borderId="58" xfId="0" applyNumberFormat="1" applyBorder="1"/>
    <xf numFmtId="0" fontId="0" fillId="0" borderId="59" xfId="0" applyBorder="1"/>
    <xf numFmtId="0" fontId="0" fillId="0" borderId="60" xfId="0" applyBorder="1"/>
    <xf numFmtId="0" fontId="0" fillId="0" borderId="53" xfId="0" applyBorder="1" applyAlignment="1">
      <alignment vertical="center"/>
    </xf>
    <xf numFmtId="0" fontId="0" fillId="4" borderId="47" xfId="0" applyFill="1" applyBorder="1" applyAlignment="1">
      <alignment horizontal="center" vertical="center"/>
    </xf>
    <xf numFmtId="168" fontId="0" fillId="0" borderId="54" xfId="0" applyNumberFormat="1" applyBorder="1"/>
    <xf numFmtId="1" fontId="0" fillId="0" borderId="0" xfId="0" applyNumberFormat="1"/>
    <xf numFmtId="1" fontId="0" fillId="0" borderId="42" xfId="0" applyNumberFormat="1" applyBorder="1"/>
    <xf numFmtId="9" fontId="0" fillId="0" borderId="1" xfId="0" applyNumberFormat="1" applyBorder="1"/>
    <xf numFmtId="10" fontId="0" fillId="0" borderId="1" xfId="0" applyNumberFormat="1" applyBorder="1"/>
    <xf numFmtId="1" fontId="42" fillId="0" borderId="1" xfId="0" applyNumberFormat="1" applyFont="1" applyBorder="1"/>
    <xf numFmtId="169" fontId="41" fillId="0" borderId="52" xfId="21" applyNumberFormat="1" applyFont="1" applyBorder="1"/>
    <xf numFmtId="0" fontId="1" fillId="4" borderId="37" xfId="18" applyFont="1" applyFill="1" applyBorder="1" applyAlignment="1">
      <alignment horizontal="center"/>
    </xf>
    <xf numFmtId="0" fontId="0" fillId="0" borderId="61" xfId="0" applyFill="1" applyBorder="1" applyAlignment="1">
      <alignment horizontal="center" vertical="center"/>
    </xf>
    <xf numFmtId="0" fontId="9" fillId="0" borderId="0" xfId="2" applyAlignment="1" applyProtection="1"/>
    <xf numFmtId="0" fontId="8" fillId="0" borderId="1" xfId="0" applyFont="1" applyBorder="1" applyAlignment="1">
      <alignment horizontal="center" vertical="center"/>
    </xf>
    <xf numFmtId="0" fontId="43" fillId="0" borderId="62" xfId="0" applyFont="1" applyBorder="1" applyAlignment="1">
      <alignment wrapText="1"/>
    </xf>
    <xf numFmtId="0" fontId="12" fillId="0" borderId="62" xfId="0" applyFont="1" applyBorder="1" applyAlignment="1">
      <alignment wrapText="1"/>
    </xf>
    <xf numFmtId="0" fontId="9" fillId="0" borderId="62" xfId="2" applyBorder="1" applyAlignment="1" applyProtection="1">
      <alignment wrapText="1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0" fontId="8" fillId="0" borderId="1" xfId="0" applyFont="1" applyBorder="1"/>
    <xf numFmtId="0" fontId="43" fillId="0" borderId="63" xfId="0" applyFont="1" applyFill="1" applyBorder="1" applyAlignment="1">
      <alignment wrapText="1"/>
    </xf>
    <xf numFmtId="0" fontId="31" fillId="0" borderId="0" xfId="18" applyFont="1" applyAlignment="1">
      <alignment horizontal="center"/>
    </xf>
    <xf numFmtId="0" fontId="3" fillId="0" borderId="36" xfId="18" applyBorder="1" applyAlignment="1">
      <alignment horizontal="center"/>
    </xf>
    <xf numFmtId="0" fontId="3" fillId="0" borderId="39" xfId="18" applyBorder="1" applyAlignment="1">
      <alignment horizontal="center"/>
    </xf>
    <xf numFmtId="0" fontId="3" fillId="0" borderId="40" xfId="18" applyBorder="1" applyAlignment="1">
      <alignment horizontal="center"/>
    </xf>
    <xf numFmtId="0" fontId="19" fillId="0" borderId="0" xfId="16" applyFont="1" applyAlignment="1" applyProtection="1">
      <alignment horizontal="center"/>
    </xf>
    <xf numFmtId="0" fontId="27" fillId="2" borderId="25" xfId="15" applyFont="1" applyFill="1" applyBorder="1" applyAlignment="1">
      <alignment horizontal="center"/>
    </xf>
    <xf numFmtId="0" fontId="21" fillId="0" borderId="2" xfId="15" applyFont="1" applyBorder="1" applyAlignment="1">
      <alignment horizontal="center"/>
    </xf>
    <xf numFmtId="0" fontId="19" fillId="0" borderId="0" xfId="15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29" fillId="3" borderId="44" xfId="0" applyFont="1" applyFill="1" applyBorder="1" applyAlignment="1">
      <alignment horizontal="center" vertical="center" wrapText="1"/>
    </xf>
    <xf numFmtId="0" fontId="29" fillId="3" borderId="45" xfId="0" applyFont="1" applyFill="1" applyBorder="1" applyAlignment="1">
      <alignment horizontal="center" vertical="center" wrapText="1"/>
    </xf>
    <xf numFmtId="0" fontId="29" fillId="3" borderId="46" xfId="0" applyFont="1" applyFill="1" applyBorder="1" applyAlignment="1">
      <alignment horizontal="center" vertical="center" wrapText="1"/>
    </xf>
    <xf numFmtId="0" fontId="9" fillId="0" borderId="20" xfId="2" applyBorder="1" applyAlignment="1" applyProtection="1">
      <alignment horizontal="center" vertical="center"/>
    </xf>
    <xf numFmtId="0" fontId="9" fillId="0" borderId="43" xfId="2" applyBorder="1" applyAlignment="1" applyProtection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</cellXfs>
  <cellStyles count="22">
    <cellStyle name="Čárka" xfId="21" builtinId="3"/>
    <cellStyle name="Čárka 2" xfId="3" xr:uid="{00000000-0005-0000-0000-000000000000}"/>
    <cellStyle name="Hypertextový odkaz" xfId="2" builtinId="8"/>
    <cellStyle name="Hypertextový odkaz 2" xfId="4" xr:uid="{00000000-0005-0000-0000-000002000000}"/>
    <cellStyle name="Hypertextový odkaz 3" xfId="16" xr:uid="{00000000-0005-0000-0000-000003000000}"/>
    <cellStyle name="Hypertextový odkaz 4" xfId="19" xr:uid="{00000000-0005-0000-0000-000004000000}"/>
    <cellStyle name="Měna" xfId="1" builtinId="4"/>
    <cellStyle name="Měna 2" xfId="5" xr:uid="{00000000-0005-0000-0000-000006000000}"/>
    <cellStyle name="měny 2" xfId="6" xr:uid="{00000000-0005-0000-0000-000007000000}"/>
    <cellStyle name="Normal 2" xfId="7" xr:uid="{00000000-0005-0000-0000-000008000000}"/>
    <cellStyle name="Normální" xfId="0" builtinId="0"/>
    <cellStyle name="normální 2" xfId="8" xr:uid="{00000000-0005-0000-0000-00000A000000}"/>
    <cellStyle name="normální 3" xfId="9" xr:uid="{00000000-0005-0000-0000-00000B000000}"/>
    <cellStyle name="Normální 4" xfId="10" xr:uid="{00000000-0005-0000-0000-00000C000000}"/>
    <cellStyle name="Normální 5" xfId="11" xr:uid="{00000000-0005-0000-0000-00000D000000}"/>
    <cellStyle name="Normální 6" xfId="12" xr:uid="{00000000-0005-0000-0000-00000E000000}"/>
    <cellStyle name="Normální 7" xfId="15" xr:uid="{00000000-0005-0000-0000-00000F000000}"/>
    <cellStyle name="Normální 8" xfId="17" xr:uid="{00000000-0005-0000-0000-000010000000}"/>
    <cellStyle name="Normální 9" xfId="18" xr:uid="{00000000-0005-0000-0000-000011000000}"/>
    <cellStyle name="Procenta 2" xfId="13" xr:uid="{00000000-0005-0000-0000-000012000000}"/>
    <cellStyle name="Procenta 3" xfId="14" xr:uid="{00000000-0005-0000-0000-000013000000}"/>
    <cellStyle name="Procenta 4" xfId="20" xr:uid="{00000000-0005-0000-0000-00001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13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10</xdr:col>
      <xdr:colOff>389792</xdr:colOff>
      <xdr:row>14</xdr:row>
      <xdr:rowOff>142514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5866667" cy="28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15</xdr:row>
      <xdr:rowOff>95249</xdr:rowOff>
    </xdr:from>
    <xdr:to>
      <xdr:col>10</xdr:col>
      <xdr:colOff>190400</xdr:colOff>
      <xdr:row>25</xdr:row>
      <xdr:rowOff>9208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6" y="3028949"/>
          <a:ext cx="5552974" cy="181895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25</xdr:row>
      <xdr:rowOff>20184</xdr:rowOff>
    </xdr:from>
    <xdr:to>
      <xdr:col>10</xdr:col>
      <xdr:colOff>95250</xdr:colOff>
      <xdr:row>37</xdr:row>
      <xdr:rowOff>123473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1" y="4858884"/>
          <a:ext cx="5314949" cy="23892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37</xdr:row>
      <xdr:rowOff>68825</xdr:rowOff>
    </xdr:from>
    <xdr:to>
      <xdr:col>10</xdr:col>
      <xdr:colOff>285750</xdr:colOff>
      <xdr:row>50</xdr:row>
      <xdr:rowOff>28574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7193525"/>
          <a:ext cx="5581650" cy="4141224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65</xdr:row>
      <xdr:rowOff>114300</xdr:rowOff>
    </xdr:from>
    <xdr:to>
      <xdr:col>18</xdr:col>
      <xdr:colOff>53706</xdr:colOff>
      <xdr:row>73</xdr:row>
      <xdr:rowOff>75850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05650" y="15754350"/>
          <a:ext cx="8654781" cy="2323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2609850</xdr:colOff>
      <xdr:row>0</xdr:row>
      <xdr:rowOff>19050</xdr:rowOff>
    </xdr:from>
    <xdr:to>
      <xdr:col>5</xdr:col>
      <xdr:colOff>0</xdr:colOff>
      <xdr:row>3</xdr:row>
      <xdr:rowOff>342900</xdr:rowOff>
    </xdr:to>
    <xdr:pic>
      <xdr:nvPicPr>
        <xdr:cNvPr id="2" name="Grafik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9050"/>
          <a:ext cx="2286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28575</xdr:colOff>
      <xdr:row>230</xdr:row>
      <xdr:rowOff>0</xdr:rowOff>
    </xdr:to>
    <xdr:pic>
      <xdr:nvPicPr>
        <xdr:cNvPr id="3" name="Grafik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9650"/>
          <a:ext cx="79057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53</xdr:row>
      <xdr:rowOff>190500</xdr:rowOff>
    </xdr:from>
    <xdr:to>
      <xdr:col>0</xdr:col>
      <xdr:colOff>2438400</xdr:colOff>
      <xdr:row>53</xdr:row>
      <xdr:rowOff>828675</xdr:rowOff>
    </xdr:to>
    <xdr:pic>
      <xdr:nvPicPr>
        <xdr:cNvPr id="3" name="Obrázek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85775"/>
          <a:ext cx="314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54</xdr:row>
      <xdr:rowOff>104775</xdr:rowOff>
    </xdr:from>
    <xdr:to>
      <xdr:col>0</xdr:col>
      <xdr:colOff>1704975</xdr:colOff>
      <xdr:row>54</xdr:row>
      <xdr:rowOff>1257300</xdr:rowOff>
    </xdr:to>
    <xdr:pic>
      <xdr:nvPicPr>
        <xdr:cNvPr id="4" name="Obrázek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90550"/>
          <a:ext cx="1143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55</xdr:row>
      <xdr:rowOff>47625</xdr:rowOff>
    </xdr:from>
    <xdr:to>
      <xdr:col>0</xdr:col>
      <xdr:colOff>2057400</xdr:colOff>
      <xdr:row>55</xdr:row>
      <xdr:rowOff>666750</xdr:rowOff>
    </xdr:to>
    <xdr:pic>
      <xdr:nvPicPr>
        <xdr:cNvPr id="5" name="Obrázek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695325"/>
          <a:ext cx="2286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56</xdr:row>
      <xdr:rowOff>38100</xdr:rowOff>
    </xdr:from>
    <xdr:to>
      <xdr:col>0</xdr:col>
      <xdr:colOff>1857375</xdr:colOff>
      <xdr:row>56</xdr:row>
      <xdr:rowOff>1190625</xdr:rowOff>
    </xdr:to>
    <xdr:pic>
      <xdr:nvPicPr>
        <xdr:cNvPr id="6" name="Obrázek 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847725"/>
          <a:ext cx="2667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57</xdr:row>
      <xdr:rowOff>38100</xdr:rowOff>
    </xdr:from>
    <xdr:to>
      <xdr:col>0</xdr:col>
      <xdr:colOff>1924050</xdr:colOff>
      <xdr:row>57</xdr:row>
      <xdr:rowOff>1190625</xdr:rowOff>
    </xdr:to>
    <xdr:pic>
      <xdr:nvPicPr>
        <xdr:cNvPr id="7" name="Obrázek 10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009650"/>
          <a:ext cx="2000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58</xdr:row>
      <xdr:rowOff>57150</xdr:rowOff>
    </xdr:from>
    <xdr:to>
      <xdr:col>0</xdr:col>
      <xdr:colOff>1914525</xdr:colOff>
      <xdr:row>59</xdr:row>
      <xdr:rowOff>9525</xdr:rowOff>
    </xdr:to>
    <xdr:pic>
      <xdr:nvPicPr>
        <xdr:cNvPr id="8" name="Obrázek 1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1906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60</xdr:row>
      <xdr:rowOff>38100</xdr:rowOff>
    </xdr:from>
    <xdr:to>
      <xdr:col>0</xdr:col>
      <xdr:colOff>1590675</xdr:colOff>
      <xdr:row>60</xdr:row>
      <xdr:rowOff>1095375</xdr:rowOff>
    </xdr:to>
    <xdr:pic>
      <xdr:nvPicPr>
        <xdr:cNvPr id="9" name="Obrázek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333500"/>
          <a:ext cx="2476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1500962</xdr:colOff>
      <xdr:row>61</xdr:row>
      <xdr:rowOff>98351</xdr:rowOff>
    </xdr:from>
    <xdr:to>
      <xdr:col>0</xdr:col>
      <xdr:colOff>2777312</xdr:colOff>
      <xdr:row>61</xdr:row>
      <xdr:rowOff>1479476</xdr:rowOff>
    </xdr:to>
    <xdr:pic>
      <xdr:nvPicPr>
        <xdr:cNvPr id="10" name="Obrázek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962" y="9928151"/>
          <a:ext cx="12763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64</xdr:row>
      <xdr:rowOff>238125</xdr:rowOff>
    </xdr:from>
    <xdr:to>
      <xdr:col>0</xdr:col>
      <xdr:colOff>2073442</xdr:colOff>
      <xdr:row>64</xdr:row>
      <xdr:rowOff>1371600</xdr:rowOff>
    </xdr:to>
    <xdr:pic>
      <xdr:nvPicPr>
        <xdr:cNvPr id="14" name="Obrázek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3296900"/>
          <a:ext cx="1482892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65</xdr:row>
      <xdr:rowOff>9525</xdr:rowOff>
    </xdr:from>
    <xdr:to>
      <xdr:col>0</xdr:col>
      <xdr:colOff>1981200</xdr:colOff>
      <xdr:row>65</xdr:row>
      <xdr:rowOff>1485900</xdr:rowOff>
    </xdr:to>
    <xdr:pic>
      <xdr:nvPicPr>
        <xdr:cNvPr id="15" name="Obrázek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9526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70</xdr:row>
      <xdr:rowOff>38100</xdr:rowOff>
    </xdr:from>
    <xdr:to>
      <xdr:col>0</xdr:col>
      <xdr:colOff>1962150</xdr:colOff>
      <xdr:row>70</xdr:row>
      <xdr:rowOff>1114425</xdr:rowOff>
    </xdr:to>
    <xdr:pic>
      <xdr:nvPicPr>
        <xdr:cNvPr id="16" name="Obrázek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829050"/>
          <a:ext cx="4191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204234</xdr:colOff>
      <xdr:row>61</xdr:row>
      <xdr:rowOff>96849</xdr:rowOff>
    </xdr:from>
    <xdr:to>
      <xdr:col>0</xdr:col>
      <xdr:colOff>1304925</xdr:colOff>
      <xdr:row>61</xdr:row>
      <xdr:rowOff>1433402</xdr:rowOff>
    </xdr:to>
    <xdr:pic>
      <xdr:nvPicPr>
        <xdr:cNvPr id="17" name="Obrázek 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34" y="9926649"/>
          <a:ext cx="1100691" cy="1336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71</xdr:row>
      <xdr:rowOff>38100</xdr:rowOff>
    </xdr:from>
    <xdr:to>
      <xdr:col>0</xdr:col>
      <xdr:colOff>2095500</xdr:colOff>
      <xdr:row>72</xdr:row>
      <xdr:rowOff>1</xdr:rowOff>
    </xdr:to>
    <xdr:pic>
      <xdr:nvPicPr>
        <xdr:cNvPr id="18" name="Obrázek 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5029200"/>
          <a:ext cx="4762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72</xdr:row>
      <xdr:rowOff>28575</xdr:rowOff>
    </xdr:from>
    <xdr:to>
      <xdr:col>0</xdr:col>
      <xdr:colOff>1933575</xdr:colOff>
      <xdr:row>72</xdr:row>
      <xdr:rowOff>1181100</xdr:rowOff>
    </xdr:to>
    <xdr:pic>
      <xdr:nvPicPr>
        <xdr:cNvPr id="21" name="Obrázek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315075"/>
          <a:ext cx="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180976</xdr:colOff>
      <xdr:row>73</xdr:row>
      <xdr:rowOff>504825</xdr:rowOff>
    </xdr:from>
    <xdr:to>
      <xdr:col>0</xdr:col>
      <xdr:colOff>2465488</xdr:colOff>
      <xdr:row>73</xdr:row>
      <xdr:rowOff>981075</xdr:rowOff>
    </xdr:to>
    <xdr:pic>
      <xdr:nvPicPr>
        <xdr:cNvPr id="25" name="Obrázek 5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6" y="26552525"/>
          <a:ext cx="228451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537297</xdr:colOff>
      <xdr:row>63</xdr:row>
      <xdr:rowOff>123306</xdr:rowOff>
    </xdr:from>
    <xdr:to>
      <xdr:col>0</xdr:col>
      <xdr:colOff>2288668</xdr:colOff>
      <xdr:row>63</xdr:row>
      <xdr:rowOff>1535887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5400000">
          <a:off x="1090765" y="11552903"/>
          <a:ext cx="1412581" cy="17513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72159</xdr:rowOff>
    </xdr:from>
    <xdr:to>
      <xdr:col>8</xdr:col>
      <xdr:colOff>9525</xdr:colOff>
      <xdr:row>2</xdr:row>
      <xdr:rowOff>2713182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0" y="285986"/>
          <a:ext cx="10156566" cy="28062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/>
        </a:p>
        <a:p>
          <a:r>
            <a:rPr lang="cs-CZ"/>
            <a:t>Dobrý den,</a:t>
          </a:r>
          <a:br>
            <a:rPr lang="cs-CZ"/>
          </a:br>
          <a:endParaRPr lang="cs-CZ"/>
        </a:p>
        <a:p>
          <a:r>
            <a:rPr lang="cs-CZ"/>
            <a:t>chtěla bych u vás nezávazně poptat hliníkový plot v černé barvě. Líbí se nám širší vodorovné lamely s malými mezerami, aby byl plot co nejméně průhledný.</a:t>
          </a:r>
        </a:p>
        <a:p>
          <a:br>
            <a:rPr lang="cs-CZ"/>
          </a:br>
          <a:endParaRPr lang="cs-CZ"/>
        </a:p>
        <a:p>
          <a:r>
            <a:rPr lang="cs-CZ"/>
            <a:t>Potřebovali bychom 4ks plotových polí o rozměrech 3200mm x 900mm, které by byly montovány mezi betonové sloupky. Je mi jasné, že je to dost dlouhé pole na hliník, klidně to tedy může být rozděleno ještě na dvě části a spojené nerezovým lakovaným jeklem nebo něčím podobným. </a:t>
          </a:r>
        </a:p>
        <a:p>
          <a:r>
            <a:rPr lang="cs-CZ"/>
            <a:t>Dále vchodovou branku s el.zámkem, opět mezi betonové sloupky, kde je otvor 1200mm x 1450mm. </a:t>
          </a:r>
        </a:p>
        <a:p>
          <a:r>
            <a:rPr lang="cs-CZ"/>
            <a:t>A nakonec ještě jednu branku, která by byla z jedné strany ukotvena k betonovému sloupku a z druhé strany k domu, rozměr 900mm x 1450mm bez el.zámku.</a:t>
          </a:r>
          <a:br>
            <a:rPr lang="cs-CZ"/>
          </a:br>
          <a:br>
            <a:rPr lang="cs-CZ"/>
          </a:br>
          <a:r>
            <a:rPr lang="cs-CZ"/>
            <a:t>Předem děkuji za odpověď.</a:t>
          </a:r>
          <a:br>
            <a:rPr lang="cs-CZ"/>
          </a:br>
          <a:br>
            <a:rPr lang="cs-CZ"/>
          </a:br>
          <a:r>
            <a:rPr lang="cs-CZ"/>
            <a:t>S pozdravem,</a:t>
          </a:r>
          <a:br>
            <a:rPr lang="cs-CZ"/>
          </a:br>
          <a:r>
            <a:rPr lang="cs-CZ"/>
            <a:t>Kosečková  </a:t>
          </a:r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  <a:p>
          <a:endParaRPr lang="cs-CZ"/>
        </a:p>
      </xdr:txBody>
    </xdr:sp>
    <xdr:clientData/>
  </xdr:twoCellAnchor>
  <xdr:oneCellAnchor>
    <xdr:from>
      <xdr:col>0</xdr:col>
      <xdr:colOff>1500962</xdr:colOff>
      <xdr:row>62</xdr:row>
      <xdr:rowOff>98351</xdr:rowOff>
    </xdr:from>
    <xdr:ext cx="1276350" cy="1381125"/>
    <xdr:pic>
      <xdr:nvPicPr>
        <xdr:cNvPr id="22" name="Obrázek 6">
          <a:extLst>
            <a:ext uri="{FF2B5EF4-FFF2-40B4-BE49-F238E27FC236}">
              <a16:creationId xmlns:a16="http://schemas.microsoft.com/office/drawing/2014/main" id="{014C48D1-1608-4178-8193-9D3E8C8C1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962" y="21481004"/>
          <a:ext cx="12763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204234</xdr:colOff>
      <xdr:row>62</xdr:row>
      <xdr:rowOff>96849</xdr:rowOff>
    </xdr:from>
    <xdr:ext cx="1100691" cy="1336553"/>
    <xdr:pic>
      <xdr:nvPicPr>
        <xdr:cNvPr id="23" name="Obrázek 2">
          <a:extLst>
            <a:ext uri="{FF2B5EF4-FFF2-40B4-BE49-F238E27FC236}">
              <a16:creationId xmlns:a16="http://schemas.microsoft.com/office/drawing/2014/main" id="{045403BB-150B-42FF-B767-87CC6791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34" y="21479502"/>
          <a:ext cx="1100691" cy="1336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547688</xdr:colOff>
      <xdr:row>74</xdr:row>
      <xdr:rowOff>180679</xdr:rowOff>
    </xdr:from>
    <xdr:to>
      <xdr:col>0</xdr:col>
      <xdr:colOff>2381251</xdr:colOff>
      <xdr:row>74</xdr:row>
      <xdr:rowOff>1237869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6876EF-FA19-4ADC-86F3-D248D99E2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7688" y="40126148"/>
          <a:ext cx="1833563" cy="105719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75</xdr:row>
      <xdr:rowOff>89001</xdr:rowOff>
    </xdr:from>
    <xdr:to>
      <xdr:col>0</xdr:col>
      <xdr:colOff>2166937</xdr:colOff>
      <xdr:row>75</xdr:row>
      <xdr:rowOff>961672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884156EA-94FF-4321-BED3-53620D309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9125" y="41391782"/>
          <a:ext cx="1547812" cy="872671"/>
        </a:xfrm>
        <a:prstGeom prst="rect">
          <a:avLst/>
        </a:prstGeom>
      </xdr:spPr>
    </xdr:pic>
    <xdr:clientData/>
  </xdr:twoCellAnchor>
  <xdr:twoCellAnchor editAs="oneCell">
    <xdr:from>
      <xdr:col>0</xdr:col>
      <xdr:colOff>1131095</xdr:colOff>
      <xdr:row>76</xdr:row>
      <xdr:rowOff>59531</xdr:rowOff>
    </xdr:from>
    <xdr:to>
      <xdr:col>0</xdr:col>
      <xdr:colOff>2104563</xdr:colOff>
      <xdr:row>76</xdr:row>
      <xdr:rowOff>1035350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752FF509-6492-4CFC-971C-B860AED69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31095" y="42362437"/>
          <a:ext cx="973468" cy="975819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67</xdr:row>
      <xdr:rowOff>95248</xdr:rowOff>
    </xdr:from>
    <xdr:to>
      <xdr:col>0</xdr:col>
      <xdr:colOff>2810256</xdr:colOff>
      <xdr:row>68</xdr:row>
      <xdr:rowOff>25844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2BB09710-BEC4-4739-992F-EAD8CFFA4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1011205" y="30671324"/>
          <a:ext cx="1133127" cy="246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77</xdr:row>
      <xdr:rowOff>59531</xdr:rowOff>
    </xdr:from>
    <xdr:to>
      <xdr:col>0</xdr:col>
      <xdr:colOff>2590548</xdr:colOff>
      <xdr:row>77</xdr:row>
      <xdr:rowOff>1047518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21364F16-BA49-48D7-921E-FC8C128B3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4313" y="43434000"/>
          <a:ext cx="2376235" cy="98798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833438</xdr:colOff>
      <xdr:row>77</xdr:row>
      <xdr:rowOff>1054289</xdr:rowOff>
    </xdr:from>
    <xdr:to>
      <xdr:col>0</xdr:col>
      <xdr:colOff>1893094</xdr:colOff>
      <xdr:row>78</xdr:row>
      <xdr:rowOff>1030865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238BC26C-C617-41BD-B0C2-BF0747116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33438" y="44428758"/>
          <a:ext cx="1059656" cy="10481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400050</xdr:colOff>
      <xdr:row>0</xdr:row>
      <xdr:rowOff>133350</xdr:rowOff>
    </xdr:from>
    <xdr:to>
      <xdr:col>23</xdr:col>
      <xdr:colOff>485238</xdr:colOff>
      <xdr:row>8</xdr:row>
      <xdr:rowOff>18630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C42C4CC-6CA0-4B7B-A842-D9423AE9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0" y="133350"/>
          <a:ext cx="4295238" cy="33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28574</xdr:colOff>
      <xdr:row>3</xdr:row>
      <xdr:rowOff>0</xdr:rowOff>
    </xdr:from>
    <xdr:to>
      <xdr:col>7</xdr:col>
      <xdr:colOff>342900</xdr:colOff>
      <xdr:row>22</xdr:row>
      <xdr:rowOff>23020</xdr:rowOff>
    </xdr:to>
    <xdr:pic>
      <xdr:nvPicPr>
        <xdr:cNvPr id="2" name="Obrázek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4" y="571500"/>
          <a:ext cx="3362326" cy="364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228601</xdr:colOff>
      <xdr:row>6</xdr:row>
      <xdr:rowOff>114300</xdr:rowOff>
    </xdr:from>
    <xdr:to>
      <xdr:col>4</xdr:col>
      <xdr:colOff>247650</xdr:colOff>
      <xdr:row>15</xdr:row>
      <xdr:rowOff>38100</xdr:rowOff>
    </xdr:to>
    <xdr:cxnSp macro="">
      <xdr:nvCxnSpPr>
        <xdr:cNvPr id="3" name="Přímá spojnice se šipkou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H="1">
          <a:off x="2667001" y="1257300"/>
          <a:ext cx="19049" cy="16383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276226</xdr:colOff>
      <xdr:row>17</xdr:row>
      <xdr:rowOff>9525</xdr:rowOff>
    </xdr:from>
    <xdr:to>
      <xdr:col>7</xdr:col>
      <xdr:colOff>38100</xdr:colOff>
      <xdr:row>17</xdr:row>
      <xdr:rowOff>47625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H="1" flipV="1">
          <a:off x="1495426" y="3248025"/>
          <a:ext cx="2809874" cy="38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438150</xdr:colOff>
      <xdr:row>17</xdr:row>
      <xdr:rowOff>57150</xdr:rowOff>
    </xdr:from>
    <xdr:to>
      <xdr:col>3</xdr:col>
      <xdr:colOff>438151</xdr:colOff>
      <xdr:row>20</xdr:row>
      <xdr:rowOff>85725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H="1">
          <a:off x="2266950" y="3295650"/>
          <a:ext cx="1" cy="6000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95251</xdr:colOff>
      <xdr:row>6</xdr:row>
      <xdr:rowOff>85726</xdr:rowOff>
    </xdr:from>
    <xdr:to>
      <xdr:col>4</xdr:col>
      <xdr:colOff>180975</xdr:colOff>
      <xdr:row>6</xdr:row>
      <xdr:rowOff>114300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H="1" flipV="1">
          <a:off x="1924051" y="1228726"/>
          <a:ext cx="695324" cy="2857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581025</xdr:colOff>
      <xdr:row>15</xdr:row>
      <xdr:rowOff>76200</xdr:rowOff>
    </xdr:from>
    <xdr:to>
      <xdr:col>4</xdr:col>
      <xdr:colOff>381000</xdr:colOff>
      <xdr:row>15</xdr:row>
      <xdr:rowOff>85725</xdr:rowOff>
    </xdr:to>
    <xdr:cxnSp macro="">
      <xdr:nvCxnSpPr>
        <xdr:cNvPr id="7" name="Přímá spojnice se šipkou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 flipV="1">
          <a:off x="1800225" y="2933700"/>
          <a:ext cx="1019175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66675</xdr:colOff>
      <xdr:row>16</xdr:row>
      <xdr:rowOff>9525</xdr:rowOff>
    </xdr:from>
    <xdr:to>
      <xdr:col>7</xdr:col>
      <xdr:colOff>76200</xdr:colOff>
      <xdr:row>18</xdr:row>
      <xdr:rowOff>19050</xdr:rowOff>
    </xdr:to>
    <xdr:cxnSp macro="">
      <xdr:nvCxnSpPr>
        <xdr:cNvPr id="8" name="Přímá spojnice se šipkou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V="1">
          <a:off x="4333875" y="3057525"/>
          <a:ext cx="9525" cy="390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371475</xdr:colOff>
      <xdr:row>9</xdr:row>
      <xdr:rowOff>104775</xdr:rowOff>
    </xdr:from>
    <xdr:to>
      <xdr:col>5</xdr:col>
      <xdr:colOff>0</xdr:colOff>
      <xdr:row>10</xdr:row>
      <xdr:rowOff>152400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809875" y="1819275"/>
          <a:ext cx="2381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A</a:t>
          </a:r>
        </a:p>
      </xdr:txBody>
    </xdr:sp>
    <xdr:clientData/>
  </xdr:twoCellAnchor>
  <xdr:twoCellAnchor editAs="oneCell">
    <xdr:from>
      <xdr:col>3</xdr:col>
      <xdr:colOff>428624</xdr:colOff>
      <xdr:row>4</xdr:row>
      <xdr:rowOff>76200</xdr:rowOff>
    </xdr:from>
    <xdr:to>
      <xdr:col>4</xdr:col>
      <xdr:colOff>68982</xdr:colOff>
      <xdr:row>5</xdr:row>
      <xdr:rowOff>184430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7424" y="838200"/>
          <a:ext cx="249958" cy="298730"/>
        </a:xfrm>
        <a:prstGeom prst="rect">
          <a:avLst/>
        </a:prstGeom>
      </xdr:spPr>
    </xdr:pic>
    <xdr:clientData/>
  </xdr:twoCellAnchor>
  <xdr:twoCellAnchor>
    <xdr:from>
      <xdr:col>3</xdr:col>
      <xdr:colOff>409574</xdr:colOff>
      <xdr:row>4</xdr:row>
      <xdr:rowOff>9526</xdr:rowOff>
    </xdr:from>
    <xdr:to>
      <xdr:col>4</xdr:col>
      <xdr:colOff>28575</xdr:colOff>
      <xdr:row>5</xdr:row>
      <xdr:rowOff>104776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2238374" y="771526"/>
          <a:ext cx="228601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B</a:t>
          </a:r>
        </a:p>
      </xdr:txBody>
    </xdr:sp>
    <xdr:clientData/>
  </xdr:twoCellAnchor>
  <xdr:twoCellAnchor>
    <xdr:from>
      <xdr:col>5</xdr:col>
      <xdr:colOff>438150</xdr:colOff>
      <xdr:row>17</xdr:row>
      <xdr:rowOff>47625</xdr:rowOff>
    </xdr:from>
    <xdr:to>
      <xdr:col>6</xdr:col>
      <xdr:colOff>66675</xdr:colOff>
      <xdr:row>18</xdr:row>
      <xdr:rowOff>95250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3486150" y="3286125"/>
          <a:ext cx="2381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D</a:t>
          </a:r>
        </a:p>
      </xdr:txBody>
    </xdr:sp>
    <xdr:clientData/>
  </xdr:twoCellAnchor>
  <xdr:twoCellAnchor>
    <xdr:from>
      <xdr:col>3</xdr:col>
      <xdr:colOff>333375</xdr:colOff>
      <xdr:row>13</xdr:row>
      <xdr:rowOff>161925</xdr:rowOff>
    </xdr:from>
    <xdr:to>
      <xdr:col>3</xdr:col>
      <xdr:colOff>571500</xdr:colOff>
      <xdr:row>15</xdr:row>
      <xdr:rowOff>19050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2162175" y="2638425"/>
          <a:ext cx="2381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C</a:t>
          </a:r>
        </a:p>
      </xdr:txBody>
    </xdr:sp>
    <xdr:clientData/>
  </xdr:twoCellAnchor>
  <xdr:twoCellAnchor>
    <xdr:from>
      <xdr:col>7</xdr:col>
      <xdr:colOff>123825</xdr:colOff>
      <xdr:row>16</xdr:row>
      <xdr:rowOff>76200</xdr:rowOff>
    </xdr:from>
    <xdr:to>
      <xdr:col>7</xdr:col>
      <xdr:colOff>361950</xdr:colOff>
      <xdr:row>17</xdr:row>
      <xdr:rowOff>123825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4391025" y="3124200"/>
          <a:ext cx="2381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E</a:t>
          </a:r>
        </a:p>
      </xdr:txBody>
    </xdr:sp>
    <xdr:clientData/>
  </xdr:twoCellAnchor>
  <xdr:twoCellAnchor>
    <xdr:from>
      <xdr:col>3</xdr:col>
      <xdr:colOff>438150</xdr:colOff>
      <xdr:row>18</xdr:row>
      <xdr:rowOff>104775</xdr:rowOff>
    </xdr:from>
    <xdr:to>
      <xdr:col>4</xdr:col>
      <xdr:colOff>66675</xdr:colOff>
      <xdr:row>19</xdr:row>
      <xdr:rowOff>152400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2266950" y="3533775"/>
          <a:ext cx="2381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F</a:t>
          </a:r>
        </a:p>
        <a:p>
          <a:endParaRPr lang="cs-CZ" sz="1100"/>
        </a:p>
      </xdr:txBody>
    </xdr:sp>
    <xdr:clientData/>
  </xdr:twoCellAnchor>
  <xdr:twoCellAnchor editAs="oneCell">
    <xdr:from>
      <xdr:col>0</xdr:col>
      <xdr:colOff>0</xdr:colOff>
      <xdr:row>23</xdr:row>
      <xdr:rowOff>7144</xdr:rowOff>
    </xdr:from>
    <xdr:to>
      <xdr:col>8</xdr:col>
      <xdr:colOff>593042</xdr:colOff>
      <xdr:row>42</xdr:row>
      <xdr:rowOff>92406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43003"/>
          <a:ext cx="5434917" cy="366705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15</xdr:col>
      <xdr:colOff>274300</xdr:colOff>
      <xdr:row>33</xdr:row>
      <xdr:rowOff>116804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7473739F-7375-4491-91F7-8C28FAB47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125" y="4147344"/>
          <a:ext cx="2695238" cy="21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506016</xdr:colOff>
      <xdr:row>21</xdr:row>
      <xdr:rowOff>0</xdr:rowOff>
    </xdr:from>
    <xdr:to>
      <xdr:col>30</xdr:col>
      <xdr:colOff>527973</xdr:colOff>
      <xdr:row>52</xdr:row>
      <xdr:rowOff>3634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6396091A-148A-44CB-865B-6E5D8CAC6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55313" y="3958828"/>
          <a:ext cx="8495238" cy="58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pohony.cz/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www.csob.cz/portal/lide/produkty/kurzovni-listky/kurzovni-listek/kurzovni-listek-detail/-/currency/USD" TargetMode="External"/><Relationship Id="rId1" Type="http://schemas.openxmlformats.org/officeDocument/2006/relationships/hyperlink" Target="http://www.lme.com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luzaun.at/cz/plotovy-system/sloupky-cepice-a-prislusenstvi-pro-montaz/" TargetMode="External"/><Relationship Id="rId2" Type="http://schemas.openxmlformats.org/officeDocument/2006/relationships/hyperlink" Target="../../../../../../../../../../../Dropbox/v&#253;robky/z&#225;me&#269;nictv&#237;/ploty/Katalog%20Zaun-und%20Balkonbau_Mustergarten_CZ.pdf" TargetMode="External"/><Relationship Id="rId1" Type="http://schemas.openxmlformats.org/officeDocument/2006/relationships/hyperlink" Target="../../../../../../../../../../../Dropbox/v&#253;robky/z&#225;me&#269;nictv&#237;/ploty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M.Jaidler@blecha.a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ovopolotovary.cz/mul-t-lock-e7-d1-zadlabaci-elektromechanicky-zamek-8-16-v-acdc-pro-branky-a-dvere-d11384.htm" TargetMode="External"/><Relationship Id="rId3" Type="http://schemas.openxmlformats.org/officeDocument/2006/relationships/hyperlink" Target="https://www.kliky-schranky.cz/3-kliky" TargetMode="External"/><Relationship Id="rId7" Type="http://schemas.openxmlformats.org/officeDocument/2006/relationships/hyperlink" Target="https://www.kovopolotovary.cz/zadlabaci-zamek-pro-dvere-branku-a-vrata-euro-svs9035-roztec-90-mm-zadlab-50-mm-d10141.htm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www.kliky-schranky.cz/vlozky/110-euro-plus.html" TargetMode="External"/><Relationship Id="rId1" Type="http://schemas.openxmlformats.org/officeDocument/2006/relationships/hyperlink" Target="https://www.kliky-schranky.cz/zamky-na-vlozku/993-zamek-zadlabaci-075.html" TargetMode="External"/><Relationship Id="rId6" Type="http://schemas.openxmlformats.org/officeDocument/2006/relationships/hyperlink" Target="http://www.svarujemehlinik.cz/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://www.aluzaun.at/cz/plotovy-system/sloupky-cepice-a-prislusenstvi-pro-montaz/" TargetMode="External"/><Relationship Id="rId10" Type="http://schemas.openxmlformats.org/officeDocument/2006/relationships/hyperlink" Target="https://www.kliky-schranky.cz/koule-/1454-onyx-klika-koule-nerez.html" TargetMode="External"/><Relationship Id="rId4" Type="http://schemas.openxmlformats.org/officeDocument/2006/relationships/hyperlink" Target="http://www.aluzaun.at/cz/plotovy-system/sloupky-cepice-a-prislusenstvi-pro-montaz/" TargetMode="External"/><Relationship Id="rId9" Type="http://schemas.openxmlformats.org/officeDocument/2006/relationships/hyperlink" Target="https://www.kovopolotovary.cz/fab-50d4040-stavebni-cylindricka-vlozka-mosazna-4040-mm-3x-klic-1bezpecnostni-trida-d12120.ht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-mont.cz/hlinikove-ploty/" TargetMode="External"/><Relationship Id="rId13" Type="http://schemas.openxmlformats.org/officeDocument/2006/relationships/printerSettings" Target="../printerSettings/printerSettings4.bin"/><Relationship Id="rId3" Type="http://schemas.openxmlformats.org/officeDocument/2006/relationships/hyperlink" Target="https://www.willhaben.at/iad/kaufen-und-verkaufen/d/komplett-einfriedungen-aluminium-zaun-geschmiedete-zaun-doppelstabmattenzaun-maschendraht-zaun-245346596/" TargetMode="External"/><Relationship Id="rId7" Type="http://schemas.openxmlformats.org/officeDocument/2006/relationships/hyperlink" Target="https://www.guardi.at/produkte/zaeune/aluzaeune/triest" TargetMode="External"/><Relationship Id="rId12" Type="http://schemas.openxmlformats.org/officeDocument/2006/relationships/hyperlink" Target="http://www.plotypelouch.cz/vyroba-a-sluzby-detail/hlinikove-ploty/" TargetMode="External"/><Relationship Id="rId2" Type="http://schemas.openxmlformats.org/officeDocument/2006/relationships/hyperlink" Target="https://www.ebay.de/itm/Aluminiumzaun-Alu-Zaun-Aluzaune-Profile-180-100-mm-Neu-Qualitat-Hersteller/283461758723?_trkparms=ispr%3D1&amp;hash=item41ffa32f03:g:ebkAAOSwSv9cwEJz" TargetMode="External"/><Relationship Id="rId1" Type="http://schemas.openxmlformats.org/officeDocument/2006/relationships/hyperlink" Target="https://www.ebay.de/itm/Alu-Zaun-Aluminium-Gelander-Sichtschutz-Windschutz-Zaunelement-GARTENZAUN/282058858204?_trkparms=ispr%3D1&amp;hash=item41ac049edc:m:mNBzc6259WNhtiblaK_KZUA" TargetMode="External"/><Relationship Id="rId6" Type="http://schemas.openxmlformats.org/officeDocument/2006/relationships/hyperlink" Target="https://www.guardi.at/produkte/zaeune/aluzaeune/nouveau" TargetMode="External"/><Relationship Id="rId11" Type="http://schemas.openxmlformats.org/officeDocument/2006/relationships/hyperlink" Target="http://www.guardi.cz/ploty/hlinikove/nouveau.html" TargetMode="External"/><Relationship Id="rId5" Type="http://schemas.openxmlformats.org/officeDocument/2006/relationships/hyperlink" Target="https://www.guardi.at/produkte/zaeune/aluzaeune/trento" TargetMode="External"/><Relationship Id="rId10" Type="http://schemas.openxmlformats.org/officeDocument/2006/relationships/hyperlink" Target="https://www.presto-pv.cz/ploty/" TargetMode="External"/><Relationship Id="rId4" Type="http://schemas.openxmlformats.org/officeDocument/2006/relationships/hyperlink" Target="https://www.alu-home.de/online-shop/aluminium-zaun-sichtschutz/" TargetMode="External"/><Relationship Id="rId9" Type="http://schemas.openxmlformats.org/officeDocument/2006/relationships/hyperlink" Target="https://www.eurobyt-cb.cz/sortiment-montaze/hlinikove-brany-a-ploty%20(Rand)" TargetMode="External"/><Relationship Id="rId1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X79"/>
  <sheetViews>
    <sheetView topLeftCell="A8" zoomScale="91" zoomScaleNormal="91" workbookViewId="0">
      <selection activeCell="K21" sqref="B21:K21"/>
    </sheetView>
  </sheetViews>
  <sheetFormatPr defaultRowHeight="15" x14ac:dyDescent="0.25"/>
  <cols>
    <col min="1" max="12" width="9.140625" style="69"/>
    <col min="13" max="13" width="36.42578125" style="69" customWidth="1"/>
    <col min="14" max="14" width="29.140625" style="69" customWidth="1"/>
    <col min="15" max="16" width="14.140625" style="69" customWidth="1"/>
    <col min="17" max="17" width="14.28515625" style="69" bestFit="1" customWidth="1"/>
    <col min="18" max="18" width="17.7109375" style="70" customWidth="1"/>
    <col min="19" max="19" width="24.42578125" style="69" customWidth="1"/>
    <col min="20" max="20" width="15.140625" style="69" customWidth="1"/>
    <col min="21" max="21" width="13.5703125" style="69" customWidth="1"/>
    <col min="22" max="22" width="12.28515625" style="69" customWidth="1"/>
    <col min="23" max="23" width="11" style="69" customWidth="1"/>
    <col min="24" max="16384" width="9.140625" style="69"/>
  </cols>
  <sheetData>
    <row r="1" spans="11:21" x14ac:dyDescent="0.25">
      <c r="S1" s="69" t="s">
        <v>479</v>
      </c>
    </row>
    <row r="2" spans="11:21" ht="18.75" x14ac:dyDescent="0.3">
      <c r="M2" s="183" t="s">
        <v>480</v>
      </c>
      <c r="N2" s="183"/>
      <c r="O2" s="183"/>
      <c r="P2" s="183"/>
      <c r="Q2" s="183"/>
      <c r="R2" s="183"/>
      <c r="S2" s="71" t="s">
        <v>481</v>
      </c>
      <c r="T2" s="69">
        <v>1950</v>
      </c>
    </row>
    <row r="3" spans="11:21" ht="15.75" thickBot="1" x14ac:dyDescent="0.3">
      <c r="M3" s="69" t="s">
        <v>482</v>
      </c>
      <c r="S3" s="71" t="s">
        <v>483</v>
      </c>
      <c r="T3" s="69">
        <v>23</v>
      </c>
    </row>
    <row r="4" spans="11:21" x14ac:dyDescent="0.25">
      <c r="M4" s="72" t="s">
        <v>484</v>
      </c>
      <c r="N4" s="73">
        <v>4000</v>
      </c>
      <c r="O4" s="74"/>
      <c r="P4" s="75"/>
      <c r="Q4" s="75"/>
      <c r="R4" s="76"/>
    </row>
    <row r="5" spans="11:21" x14ac:dyDescent="0.25">
      <c r="M5" s="77" t="s">
        <v>485</v>
      </c>
      <c r="N5" s="78">
        <v>1450</v>
      </c>
      <c r="O5" s="79"/>
      <c r="P5" s="80"/>
      <c r="Q5" s="80"/>
      <c r="R5" s="81"/>
      <c r="S5" s="69" t="s">
        <v>486</v>
      </c>
      <c r="T5" s="69" t="s">
        <v>487</v>
      </c>
      <c r="U5" s="70" t="s">
        <v>488</v>
      </c>
    </row>
    <row r="6" spans="11:21" x14ac:dyDescent="0.25">
      <c r="K6" s="69" t="s">
        <v>11</v>
      </c>
      <c r="M6" s="77" t="s">
        <v>489</v>
      </c>
      <c r="N6" s="184">
        <f>N4*1.325</f>
        <v>5300</v>
      </c>
      <c r="O6" s="185"/>
      <c r="P6" s="185"/>
      <c r="Q6" s="185"/>
      <c r="R6" s="186"/>
      <c r="S6" s="69">
        <f>(N6-N4)/1000</f>
        <v>1.3</v>
      </c>
      <c r="T6" s="69">
        <f>S6/3</f>
        <v>0.43333333333333335</v>
      </c>
      <c r="U6" s="70">
        <f>S6*1.4</f>
        <v>1.8199999999999998</v>
      </c>
    </row>
    <row r="7" spans="11:21" x14ac:dyDescent="0.25">
      <c r="M7" s="77" t="s">
        <v>490</v>
      </c>
      <c r="N7" s="78">
        <v>0</v>
      </c>
      <c r="O7" s="79" t="s">
        <v>11</v>
      </c>
      <c r="P7" s="80"/>
      <c r="Q7" s="80"/>
      <c r="R7" s="81" t="s">
        <v>491</v>
      </c>
      <c r="S7" s="69">
        <f>N7+1</f>
        <v>1</v>
      </c>
      <c r="T7" s="69">
        <f>T6+(N4/1000)/S7*1.2</f>
        <v>5.2333333333333334</v>
      </c>
      <c r="U7" s="70"/>
    </row>
    <row r="8" spans="11:21" x14ac:dyDescent="0.25">
      <c r="M8" s="77" t="s">
        <v>492</v>
      </c>
      <c r="N8" s="78" t="s">
        <v>493</v>
      </c>
      <c r="O8" s="79"/>
      <c r="P8" s="80"/>
      <c r="Q8" s="82" t="s">
        <v>494</v>
      </c>
      <c r="R8" s="83">
        <v>650</v>
      </c>
      <c r="U8" s="70"/>
    </row>
    <row r="9" spans="11:21" x14ac:dyDescent="0.25">
      <c r="M9" s="77" t="s">
        <v>495</v>
      </c>
      <c r="N9" s="78" t="s">
        <v>493</v>
      </c>
      <c r="O9" s="79" t="s">
        <v>496</v>
      </c>
      <c r="P9" s="80">
        <f>N4*N5/1000000</f>
        <v>5.8</v>
      </c>
      <c r="Q9" s="82" t="s">
        <v>497</v>
      </c>
      <c r="R9" s="83">
        <v>450</v>
      </c>
    </row>
    <row r="10" spans="11:21" x14ac:dyDescent="0.25">
      <c r="M10" s="77" t="s">
        <v>498</v>
      </c>
      <c r="N10" s="78" t="s">
        <v>455</v>
      </c>
      <c r="O10" s="79" t="s">
        <v>499</v>
      </c>
      <c r="P10" s="80"/>
      <c r="Q10" s="82" t="s">
        <v>500</v>
      </c>
      <c r="R10" s="83">
        <v>450</v>
      </c>
    </row>
    <row r="11" spans="11:21" x14ac:dyDescent="0.25">
      <c r="M11" s="77" t="s">
        <v>501</v>
      </c>
      <c r="N11" s="172" t="s">
        <v>493</v>
      </c>
      <c r="O11" s="79"/>
      <c r="P11" s="80"/>
      <c r="Q11" s="82" t="s">
        <v>551</v>
      </c>
      <c r="R11" s="83">
        <v>1500</v>
      </c>
    </row>
    <row r="12" spans="11:21" ht="15.75" thickBot="1" x14ac:dyDescent="0.3">
      <c r="M12" s="77" t="s">
        <v>502</v>
      </c>
      <c r="N12" s="84">
        <v>0</v>
      </c>
      <c r="O12" s="79"/>
      <c r="P12" s="80"/>
      <c r="Q12" s="82" t="s">
        <v>503</v>
      </c>
      <c r="R12" s="83">
        <v>220</v>
      </c>
    </row>
    <row r="13" spans="11:21" ht="15.75" thickBot="1" x14ac:dyDescent="0.3">
      <c r="M13" s="77" t="s">
        <v>504</v>
      </c>
      <c r="N13" s="85">
        <v>1500</v>
      </c>
      <c r="O13" s="79"/>
      <c r="P13" s="80"/>
      <c r="Q13" s="82" t="s">
        <v>505</v>
      </c>
      <c r="R13" s="83">
        <v>1300</v>
      </c>
    </row>
    <row r="14" spans="11:21" x14ac:dyDescent="0.25">
      <c r="M14" s="86" t="s">
        <v>506</v>
      </c>
      <c r="N14" s="87"/>
      <c r="O14" s="80"/>
      <c r="P14" s="80"/>
      <c r="Q14" s="80"/>
      <c r="R14" s="81"/>
    </row>
    <row r="15" spans="11:21" x14ac:dyDescent="0.25">
      <c r="M15" s="86"/>
      <c r="N15" s="80" t="s">
        <v>507</v>
      </c>
      <c r="O15" s="80" t="s">
        <v>7</v>
      </c>
      <c r="P15" s="80" t="s">
        <v>508</v>
      </c>
      <c r="Q15" s="80" t="s">
        <v>509</v>
      </c>
      <c r="R15" s="81" t="s">
        <v>0</v>
      </c>
    </row>
    <row r="16" spans="11:21" x14ac:dyDescent="0.25">
      <c r="M16" s="86" t="s">
        <v>510</v>
      </c>
      <c r="N16" s="80">
        <v>1.85</v>
      </c>
      <c r="O16" s="80"/>
      <c r="P16" s="80">
        <f>(T2+1050+300)/1000*T3+20</f>
        <v>95.899999999999991</v>
      </c>
      <c r="Q16" s="80">
        <f>N16*(N6/1000)</f>
        <v>9.8049999999999997</v>
      </c>
      <c r="R16" s="81">
        <f t="shared" ref="R16:R22" si="0">Q16*P16</f>
        <v>940.29949999999985</v>
      </c>
      <c r="T16" s="69" t="s">
        <v>11</v>
      </c>
    </row>
    <row r="17" spans="13:21" x14ac:dyDescent="0.25">
      <c r="M17" s="86" t="s">
        <v>511</v>
      </c>
      <c r="N17" s="80">
        <v>1.85</v>
      </c>
      <c r="O17" s="80"/>
      <c r="P17" s="80">
        <f t="shared" ref="P17:P22" si="1">P16</f>
        <v>95.899999999999991</v>
      </c>
      <c r="Q17" s="80">
        <f>(N4/1000+T6+U6)*N17</f>
        <v>11.568666666666669</v>
      </c>
      <c r="R17" s="81">
        <f t="shared" si="0"/>
        <v>1109.4351333333334</v>
      </c>
      <c r="T17" s="69" t="s">
        <v>11</v>
      </c>
    </row>
    <row r="18" spans="13:21" x14ac:dyDescent="0.25">
      <c r="M18" s="86" t="s">
        <v>512</v>
      </c>
      <c r="N18" s="80">
        <v>0.43</v>
      </c>
      <c r="O18" s="80"/>
      <c r="P18" s="80">
        <f t="shared" si="1"/>
        <v>95.899999999999991</v>
      </c>
      <c r="Q18" s="80">
        <f>(N4/1000+T6)*N18</f>
        <v>1.9063333333333334</v>
      </c>
      <c r="R18" s="81">
        <f t="shared" si="0"/>
        <v>182.81736666666666</v>
      </c>
      <c r="T18" s="69" t="s">
        <v>11</v>
      </c>
    </row>
    <row r="19" spans="13:21" x14ac:dyDescent="0.25">
      <c r="M19" s="86" t="s">
        <v>513</v>
      </c>
      <c r="N19" s="80">
        <f>N16</f>
        <v>1.85</v>
      </c>
      <c r="O19" s="80"/>
      <c r="P19" s="80">
        <f t="shared" si="1"/>
        <v>95.899999999999991</v>
      </c>
      <c r="Q19" s="80">
        <f>(2+N7)*(N5/1000)*N19</f>
        <v>5.3650000000000002</v>
      </c>
      <c r="R19" s="81">
        <f t="shared" si="0"/>
        <v>514.50350000000003</v>
      </c>
      <c r="T19" s="69" t="s">
        <v>11</v>
      </c>
    </row>
    <row r="20" spans="13:21" x14ac:dyDescent="0.25">
      <c r="M20" s="86" t="s">
        <v>514</v>
      </c>
      <c r="N20" s="80">
        <v>1.1000000000000001</v>
      </c>
      <c r="O20" s="80"/>
      <c r="P20" s="80">
        <f t="shared" si="1"/>
        <v>95.899999999999991</v>
      </c>
      <c r="Q20" s="80">
        <f>N6/1000*N20</f>
        <v>5.83</v>
      </c>
      <c r="R20" s="81">
        <f t="shared" si="0"/>
        <v>559.09699999999998</v>
      </c>
      <c r="T20" s="69" t="s">
        <v>11</v>
      </c>
    </row>
    <row r="21" spans="13:21" x14ac:dyDescent="0.25">
      <c r="M21" s="86" t="s">
        <v>515</v>
      </c>
      <c r="N21" s="80">
        <v>0.72</v>
      </c>
      <c r="O21" s="80"/>
      <c r="P21" s="80">
        <f t="shared" si="1"/>
        <v>95.899999999999991</v>
      </c>
      <c r="Q21" s="80">
        <f>T7*S7*N21</f>
        <v>3.7679999999999998</v>
      </c>
      <c r="R21" s="81">
        <f t="shared" si="0"/>
        <v>361.35119999999995</v>
      </c>
    </row>
    <row r="22" spans="13:21" x14ac:dyDescent="0.25">
      <c r="M22" s="86" t="s">
        <v>501</v>
      </c>
      <c r="N22" s="80">
        <v>4</v>
      </c>
      <c r="O22" s="80"/>
      <c r="P22" s="80">
        <f t="shared" si="1"/>
        <v>95.899999999999991</v>
      </c>
      <c r="Q22" s="80">
        <f>(N5/1000+0.15)*N22</f>
        <v>6.3999999999999995</v>
      </c>
      <c r="R22" s="81">
        <f t="shared" si="0"/>
        <v>613.75999999999988</v>
      </c>
    </row>
    <row r="23" spans="13:21" x14ac:dyDescent="0.25">
      <c r="M23" s="86" t="s">
        <v>516</v>
      </c>
      <c r="N23" s="80"/>
      <c r="O23" s="80">
        <v>3</v>
      </c>
      <c r="P23" s="80">
        <v>150</v>
      </c>
      <c r="Q23" s="80"/>
      <c r="R23" s="81">
        <f>P23*O23</f>
        <v>450</v>
      </c>
    </row>
    <row r="24" spans="13:21" x14ac:dyDescent="0.25">
      <c r="M24" s="86" t="s">
        <v>517</v>
      </c>
      <c r="N24" s="80"/>
      <c r="O24" s="80">
        <v>10</v>
      </c>
      <c r="P24" s="80">
        <v>35</v>
      </c>
      <c r="Q24" s="80"/>
      <c r="R24" s="81">
        <f>P24*O24</f>
        <v>350</v>
      </c>
    </row>
    <row r="25" spans="13:21" x14ac:dyDescent="0.25">
      <c r="M25" s="86" t="s">
        <v>518</v>
      </c>
      <c r="N25" s="80">
        <f>N19</f>
        <v>1.85</v>
      </c>
      <c r="O25" s="80"/>
      <c r="P25" s="80">
        <f>P22</f>
        <v>95.899999999999991</v>
      </c>
      <c r="Q25" s="80">
        <f>N5/1000*N25</f>
        <v>2.6825000000000001</v>
      </c>
      <c r="R25" s="81">
        <f>Q25*P25</f>
        <v>257.25175000000002</v>
      </c>
    </row>
    <row r="26" spans="13:21" x14ac:dyDescent="0.25">
      <c r="M26" s="86" t="s">
        <v>516</v>
      </c>
      <c r="N26" s="80"/>
      <c r="O26" s="80">
        <v>1</v>
      </c>
      <c r="P26" s="80">
        <v>150</v>
      </c>
      <c r="Q26" s="80"/>
      <c r="R26" s="81">
        <f>P26*O26</f>
        <v>150</v>
      </c>
    </row>
    <row r="27" spans="13:21" x14ac:dyDescent="0.25">
      <c r="M27" s="86" t="s">
        <v>519</v>
      </c>
      <c r="N27" s="80"/>
      <c r="O27" s="80"/>
      <c r="P27" s="80"/>
      <c r="Q27" s="80"/>
      <c r="R27" s="81">
        <v>150</v>
      </c>
    </row>
    <row r="28" spans="13:21" x14ac:dyDescent="0.25">
      <c r="M28" s="86" t="s">
        <v>520</v>
      </c>
      <c r="N28" s="80"/>
      <c r="O28" s="80"/>
      <c r="P28" s="80"/>
      <c r="Q28" s="80"/>
      <c r="R28" s="81">
        <v>80</v>
      </c>
      <c r="U28" s="69">
        <v>80</v>
      </c>
    </row>
    <row r="29" spans="13:21" x14ac:dyDescent="0.25">
      <c r="M29" s="86" t="s">
        <v>521</v>
      </c>
      <c r="N29" s="80"/>
      <c r="O29" s="80">
        <v>2</v>
      </c>
      <c r="P29" s="80">
        <v>150</v>
      </c>
      <c r="Q29" s="80"/>
      <c r="R29" s="81">
        <f>P29*O29</f>
        <v>300</v>
      </c>
    </row>
    <row r="30" spans="13:21" x14ac:dyDescent="0.25">
      <c r="M30" s="86" t="s">
        <v>522</v>
      </c>
      <c r="N30" s="80">
        <v>1.3</v>
      </c>
      <c r="O30" s="80">
        <v>0</v>
      </c>
      <c r="P30" s="80">
        <f>P25</f>
        <v>95.899999999999991</v>
      </c>
      <c r="Q30" s="80">
        <f>1*N30</f>
        <v>1.3</v>
      </c>
      <c r="R30" s="81">
        <f>Q30*P30</f>
        <v>124.66999999999999</v>
      </c>
    </row>
    <row r="31" spans="13:21" x14ac:dyDescent="0.25">
      <c r="M31" s="86" t="s">
        <v>523</v>
      </c>
      <c r="N31" s="80"/>
      <c r="O31" s="80">
        <v>1</v>
      </c>
      <c r="P31" s="80"/>
      <c r="Q31" s="80"/>
      <c r="R31" s="81">
        <v>50</v>
      </c>
    </row>
    <row r="32" spans="13:21" x14ac:dyDescent="0.25">
      <c r="M32" s="86" t="s">
        <v>524</v>
      </c>
      <c r="N32" s="80"/>
      <c r="O32" s="80">
        <v>1</v>
      </c>
      <c r="P32" s="80"/>
      <c r="Q32" s="80"/>
      <c r="R32" s="81">
        <v>150</v>
      </c>
    </row>
    <row r="33" spans="1:24" x14ac:dyDescent="0.25">
      <c r="M33" s="86" t="s">
        <v>525</v>
      </c>
      <c r="N33" s="80"/>
      <c r="O33" s="80"/>
      <c r="P33" s="80"/>
      <c r="Q33" s="80"/>
      <c r="R33" s="81">
        <v>500</v>
      </c>
    </row>
    <row r="34" spans="1:24" x14ac:dyDescent="0.25">
      <c r="M34" s="86" t="s">
        <v>3</v>
      </c>
      <c r="N34" s="80"/>
      <c r="O34" s="80"/>
      <c r="P34" s="80"/>
      <c r="Q34" s="80"/>
      <c r="R34" s="81">
        <f>SUM(R16:R33)</f>
        <v>6843.1854500000009</v>
      </c>
    </row>
    <row r="35" spans="1:24" x14ac:dyDescent="0.25">
      <c r="M35" s="86" t="s">
        <v>526</v>
      </c>
      <c r="N35" s="88">
        <v>0.15</v>
      </c>
      <c r="O35" s="80"/>
      <c r="P35" s="80"/>
      <c r="Q35" s="80"/>
      <c r="R35" s="81">
        <f>R34*N35</f>
        <v>1026.4778175000001</v>
      </c>
    </row>
    <row r="36" spans="1:24" x14ac:dyDescent="0.25">
      <c r="M36" s="86" t="s">
        <v>527</v>
      </c>
      <c r="N36" s="80" t="s">
        <v>11</v>
      </c>
      <c r="O36" s="80">
        <v>25</v>
      </c>
      <c r="P36" s="80">
        <v>150</v>
      </c>
      <c r="Q36" s="80"/>
      <c r="R36" s="81">
        <f>P36*O36</f>
        <v>3750</v>
      </c>
    </row>
    <row r="37" spans="1:24" x14ac:dyDescent="0.25">
      <c r="M37" s="86" t="s">
        <v>528</v>
      </c>
      <c r="N37" s="80"/>
      <c r="O37" s="80">
        <f>P9</f>
        <v>5.8</v>
      </c>
      <c r="P37" s="80">
        <f>N13</f>
        <v>1500</v>
      </c>
      <c r="Q37" s="80"/>
      <c r="R37" s="81">
        <f>P37*O37</f>
        <v>8700</v>
      </c>
    </row>
    <row r="38" spans="1:24" ht="31.5" x14ac:dyDescent="0.5">
      <c r="A38" s="89"/>
      <c r="M38" s="86" t="s">
        <v>529</v>
      </c>
      <c r="N38" s="88">
        <v>0.05</v>
      </c>
      <c r="O38" s="80"/>
      <c r="P38" s="80"/>
      <c r="Q38" s="80"/>
      <c r="R38" s="81">
        <f>R34*N38</f>
        <v>342.15927250000004</v>
      </c>
      <c r="X38" s="90"/>
    </row>
    <row r="39" spans="1:24" x14ac:dyDescent="0.25">
      <c r="M39" s="86" t="s">
        <v>530</v>
      </c>
      <c r="N39" s="80"/>
      <c r="O39" s="80"/>
      <c r="P39" s="80"/>
      <c r="Q39" s="80"/>
      <c r="R39" s="81">
        <f>SUM(R34:R38)</f>
        <v>20661.822540000001</v>
      </c>
    </row>
    <row r="40" spans="1:24" ht="31.5" x14ac:dyDescent="0.5">
      <c r="A40" s="89"/>
      <c r="M40" s="86" t="s">
        <v>531</v>
      </c>
      <c r="N40" s="88">
        <v>0.15</v>
      </c>
      <c r="O40" s="80"/>
      <c r="P40" s="80"/>
      <c r="Q40" s="80"/>
      <c r="R40" s="81">
        <f>R39*N40</f>
        <v>3099.273381</v>
      </c>
      <c r="T40" s="69" t="s">
        <v>11</v>
      </c>
      <c r="U40" s="69" t="s">
        <v>11</v>
      </c>
      <c r="V40" s="69" t="s">
        <v>11</v>
      </c>
      <c r="X40" s="90"/>
    </row>
    <row r="41" spans="1:24" x14ac:dyDescent="0.25">
      <c r="M41" s="86" t="s">
        <v>532</v>
      </c>
      <c r="N41" s="88">
        <v>0.25</v>
      </c>
      <c r="O41" s="80"/>
      <c r="P41" s="80"/>
      <c r="Q41" s="80"/>
      <c r="R41" s="81">
        <f>N41*R39</f>
        <v>5165.4556350000003</v>
      </c>
    </row>
    <row r="42" spans="1:24" ht="31.5" x14ac:dyDescent="0.5">
      <c r="A42" s="89"/>
      <c r="M42" s="86" t="s">
        <v>533</v>
      </c>
      <c r="N42" s="80"/>
      <c r="O42" s="80"/>
      <c r="P42" s="80"/>
      <c r="Q42" s="80"/>
      <c r="R42" s="81">
        <f>R40+R39+R41</f>
        <v>28926.551555999999</v>
      </c>
      <c r="S42" s="69" t="s">
        <v>11</v>
      </c>
      <c r="X42" s="90"/>
    </row>
    <row r="43" spans="1:24" x14ac:dyDescent="0.25">
      <c r="M43" s="86" t="s">
        <v>534</v>
      </c>
      <c r="N43" s="88">
        <v>0.5</v>
      </c>
      <c r="O43" s="80"/>
      <c r="P43" s="80"/>
      <c r="Q43" s="80"/>
      <c r="R43" s="81">
        <f>R42*N43</f>
        <v>14463.275777999999</v>
      </c>
      <c r="S43" s="69" t="s">
        <v>11</v>
      </c>
    </row>
    <row r="44" spans="1:24" ht="31.5" x14ac:dyDescent="0.5">
      <c r="A44" s="89"/>
      <c r="M44" s="91" t="s">
        <v>535</v>
      </c>
      <c r="N44" s="92"/>
      <c r="O44" s="92"/>
      <c r="P44" s="92"/>
      <c r="Q44" s="92"/>
      <c r="R44" s="93">
        <f>R43+R42</f>
        <v>43389.827334000001</v>
      </c>
      <c r="S44" s="69" t="s">
        <v>11</v>
      </c>
      <c r="V44" s="69" t="s">
        <v>11</v>
      </c>
      <c r="X44" s="90"/>
    </row>
    <row r="45" spans="1:24" x14ac:dyDescent="0.25">
      <c r="M45" s="86"/>
      <c r="N45" s="80"/>
      <c r="O45" s="80"/>
      <c r="P45" s="80"/>
      <c r="Q45" s="80"/>
      <c r="R45" s="81"/>
      <c r="S45" s="69" t="s">
        <v>11</v>
      </c>
      <c r="V45" s="69" t="s">
        <v>11</v>
      </c>
    </row>
    <row r="46" spans="1:24" ht="55.5" customHeight="1" x14ac:dyDescent="0.5">
      <c r="A46" s="89"/>
      <c r="M46" s="94" t="s">
        <v>536</v>
      </c>
      <c r="N46" s="117" t="s">
        <v>549</v>
      </c>
      <c r="O46" s="95"/>
      <c r="P46" s="95"/>
      <c r="Q46" s="95"/>
      <c r="R46" s="96">
        <v>6000</v>
      </c>
      <c r="S46" s="97"/>
      <c r="X46" s="90"/>
    </row>
    <row r="47" spans="1:24" ht="18" customHeight="1" x14ac:dyDescent="0.25">
      <c r="M47" s="86" t="s">
        <v>537</v>
      </c>
      <c r="N47" s="80"/>
      <c r="O47" s="80"/>
      <c r="P47" s="88"/>
      <c r="Q47" s="80"/>
      <c r="R47" s="81">
        <v>300</v>
      </c>
    </row>
    <row r="48" spans="1:24" ht="23.25" customHeight="1" x14ac:dyDescent="0.5">
      <c r="A48" s="89"/>
      <c r="M48" s="98" t="s">
        <v>538</v>
      </c>
      <c r="N48" s="99"/>
      <c r="O48" s="99"/>
      <c r="P48" s="99"/>
      <c r="Q48" s="99"/>
      <c r="R48" s="100">
        <f>R47+R46+R44</f>
        <v>49689.827334000001</v>
      </c>
      <c r="S48" s="101" t="s">
        <v>11</v>
      </c>
      <c r="X48" s="90"/>
    </row>
    <row r="49" spans="1:24" x14ac:dyDescent="0.25">
      <c r="M49" s="124" t="s">
        <v>11</v>
      </c>
      <c r="N49" s="80"/>
      <c r="O49" s="80"/>
      <c r="P49" s="80"/>
      <c r="Q49" s="80"/>
      <c r="R49" s="123" t="s">
        <v>11</v>
      </c>
    </row>
    <row r="50" spans="1:24" ht="31.5" x14ac:dyDescent="0.5">
      <c r="A50" s="89"/>
      <c r="M50" s="86" t="s">
        <v>539</v>
      </c>
      <c r="N50" s="80">
        <v>20</v>
      </c>
      <c r="O50" s="80">
        <v>350</v>
      </c>
      <c r="P50" s="80"/>
      <c r="Q50" s="80"/>
      <c r="R50" s="81">
        <v>10000</v>
      </c>
      <c r="X50" s="90"/>
    </row>
    <row r="51" spans="1:24" x14ac:dyDescent="0.25">
      <c r="M51" s="124" t="s">
        <v>563</v>
      </c>
      <c r="N51" s="80">
        <v>300</v>
      </c>
      <c r="O51" s="80">
        <v>17</v>
      </c>
      <c r="P51" s="80"/>
      <c r="Q51" s="80"/>
      <c r="R51" s="81">
        <f>O51*N51</f>
        <v>5100</v>
      </c>
    </row>
    <row r="52" spans="1:24" ht="31.5" x14ac:dyDescent="0.5">
      <c r="A52" s="89"/>
      <c r="M52" s="86" t="s">
        <v>540</v>
      </c>
      <c r="N52" s="80"/>
      <c r="O52" s="80"/>
      <c r="P52" s="80"/>
      <c r="Q52" s="80"/>
      <c r="R52" s="81">
        <v>1500</v>
      </c>
      <c r="X52" s="90"/>
    </row>
    <row r="53" spans="1:24" x14ac:dyDescent="0.25">
      <c r="M53" s="86" t="s">
        <v>541</v>
      </c>
      <c r="N53" s="80"/>
      <c r="O53" s="80"/>
      <c r="P53" s="80"/>
      <c r="Q53" s="80"/>
      <c r="R53" s="81">
        <v>4500</v>
      </c>
    </row>
    <row r="54" spans="1:24" ht="31.5" x14ac:dyDescent="0.5">
      <c r="A54" s="89"/>
      <c r="M54" s="86" t="s">
        <v>542</v>
      </c>
      <c r="N54" s="80"/>
      <c r="O54" s="80"/>
      <c r="P54" s="80"/>
      <c r="Q54" s="80"/>
      <c r="R54" s="81">
        <f>SUM(R50:R53)</f>
        <v>21100</v>
      </c>
      <c r="X54" s="90"/>
    </row>
    <row r="55" spans="1:24" x14ac:dyDescent="0.25">
      <c r="M55" s="86"/>
      <c r="N55" s="80"/>
      <c r="O55" s="80"/>
      <c r="P55" s="80"/>
      <c r="Q55" s="80"/>
      <c r="R55" s="81"/>
    </row>
    <row r="56" spans="1:24" ht="31.5" x14ac:dyDescent="0.5">
      <c r="A56" s="89"/>
      <c r="M56" s="102" t="s">
        <v>543</v>
      </c>
      <c r="N56" s="103"/>
      <c r="O56" s="103"/>
      <c r="P56" s="103"/>
      <c r="Q56" s="104"/>
      <c r="R56" s="105">
        <f>R54+R48</f>
        <v>70789.827334000001</v>
      </c>
      <c r="X56" s="90"/>
    </row>
    <row r="57" spans="1:24" x14ac:dyDescent="0.25">
      <c r="M57" s="86" t="s">
        <v>544</v>
      </c>
      <c r="N57" s="80"/>
      <c r="O57" s="80"/>
      <c r="P57" s="80"/>
      <c r="Q57" s="106"/>
      <c r="R57" s="123" t="s">
        <v>11</v>
      </c>
      <c r="S57" s="125" t="s">
        <v>11</v>
      </c>
    </row>
    <row r="58" spans="1:24" ht="31.5" x14ac:dyDescent="0.5">
      <c r="A58" s="89"/>
      <c r="M58" s="86" t="s">
        <v>545</v>
      </c>
      <c r="N58" s="107">
        <f>N4</f>
        <v>4000</v>
      </c>
      <c r="O58" s="80"/>
      <c r="P58" s="80"/>
      <c r="Q58" s="106"/>
      <c r="R58" s="81"/>
      <c r="X58" s="90"/>
    </row>
    <row r="59" spans="1:24" x14ac:dyDescent="0.25">
      <c r="M59" s="86" t="s">
        <v>546</v>
      </c>
      <c r="N59" s="107">
        <f t="shared" ref="N59:N65" si="2">N5</f>
        <v>1450</v>
      </c>
      <c r="O59" s="80"/>
      <c r="P59" s="80"/>
      <c r="Q59" s="106"/>
      <c r="R59" s="81"/>
    </row>
    <row r="60" spans="1:24" ht="31.5" x14ac:dyDescent="0.5">
      <c r="A60" s="89"/>
      <c r="M60" s="86" t="s">
        <v>547</v>
      </c>
      <c r="N60" s="107">
        <f>N6</f>
        <v>5300</v>
      </c>
      <c r="O60" s="80"/>
      <c r="P60" s="80"/>
      <c r="Q60" s="106"/>
      <c r="R60" s="81"/>
      <c r="X60" s="90"/>
    </row>
    <row r="61" spans="1:24" x14ac:dyDescent="0.25">
      <c r="M61" s="86" t="s">
        <v>548</v>
      </c>
      <c r="N61" s="107">
        <f t="shared" si="2"/>
        <v>0</v>
      </c>
      <c r="O61" s="80"/>
      <c r="P61" s="80"/>
      <c r="Q61" s="106"/>
      <c r="R61" s="81"/>
    </row>
    <row r="62" spans="1:24" ht="31.5" x14ac:dyDescent="0.5">
      <c r="A62" s="89"/>
      <c r="M62" s="86" t="s">
        <v>492</v>
      </c>
      <c r="N62" s="107" t="str">
        <f t="shared" si="2"/>
        <v>ne</v>
      </c>
      <c r="O62" s="80"/>
      <c r="P62" s="80"/>
      <c r="Q62" s="106"/>
      <c r="R62" s="81"/>
      <c r="X62" s="90"/>
    </row>
    <row r="63" spans="1:24" x14ac:dyDescent="0.25">
      <c r="M63" s="86" t="s">
        <v>495</v>
      </c>
      <c r="N63" s="107" t="str">
        <f t="shared" si="2"/>
        <v>ne</v>
      </c>
      <c r="O63" s="80"/>
      <c r="P63" s="80"/>
      <c r="Q63" s="106"/>
      <c r="R63" s="81"/>
    </row>
    <row r="64" spans="1:24" ht="31.5" x14ac:dyDescent="0.5">
      <c r="A64" s="89"/>
      <c r="M64" s="86" t="s">
        <v>498</v>
      </c>
      <c r="N64" s="107" t="str">
        <f t="shared" si="2"/>
        <v>ano</v>
      </c>
      <c r="O64" s="80"/>
      <c r="P64" s="80"/>
      <c r="Q64" s="106"/>
      <c r="R64" s="81"/>
      <c r="X64" s="90"/>
    </row>
    <row r="65" spans="1:24" ht="15.75" thickBot="1" x14ac:dyDescent="0.3">
      <c r="M65" s="108" t="s">
        <v>501</v>
      </c>
      <c r="N65" s="109" t="str">
        <f t="shared" si="2"/>
        <v>ne</v>
      </c>
      <c r="O65" s="110"/>
      <c r="P65" s="110"/>
      <c r="Q65" s="111"/>
      <c r="R65" s="112"/>
    </row>
    <row r="66" spans="1:24" ht="31.5" x14ac:dyDescent="0.5">
      <c r="A66" s="89"/>
      <c r="Q66" s="113"/>
      <c r="X66" s="90"/>
    </row>
    <row r="67" spans="1:24" x14ac:dyDescent="0.25">
      <c r="Q67" s="113"/>
    </row>
    <row r="68" spans="1:24" ht="31.5" x14ac:dyDescent="0.5">
      <c r="A68" s="89"/>
      <c r="Q68" s="113"/>
      <c r="X68" s="90"/>
    </row>
    <row r="69" spans="1:24" x14ac:dyDescent="0.25">
      <c r="Q69" s="113"/>
    </row>
    <row r="70" spans="1:24" ht="31.5" x14ac:dyDescent="0.5">
      <c r="A70" s="89"/>
      <c r="Q70" s="113"/>
      <c r="X70" s="90"/>
    </row>
    <row r="71" spans="1:24" x14ac:dyDescent="0.25">
      <c r="Q71" s="113"/>
    </row>
    <row r="72" spans="1:24" ht="31.5" x14ac:dyDescent="0.5">
      <c r="A72" s="89"/>
      <c r="Q72" s="113"/>
      <c r="X72" s="90"/>
    </row>
    <row r="73" spans="1:24" x14ac:dyDescent="0.25">
      <c r="Q73" s="113"/>
    </row>
    <row r="74" spans="1:24" x14ac:dyDescent="0.25">
      <c r="Q74" s="113"/>
    </row>
    <row r="75" spans="1:24" ht="23.25" x14ac:dyDescent="0.35">
      <c r="A75" s="114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6"/>
    </row>
    <row r="76" spans="1:24" x14ac:dyDescent="0.25">
      <c r="Q76" s="113"/>
    </row>
    <row r="77" spans="1:24" ht="23.25" x14ac:dyDescent="0.35">
      <c r="A77" s="114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Q77" s="113"/>
    </row>
    <row r="78" spans="1:24" x14ac:dyDescent="0.25">
      <c r="Q78" s="113"/>
    </row>
    <row r="79" spans="1:24" ht="23.25" x14ac:dyDescent="0.35">
      <c r="A79" s="114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3"/>
    </row>
  </sheetData>
  <mergeCells count="2">
    <mergeCell ref="M2:R2"/>
    <mergeCell ref="N6:R6"/>
  </mergeCells>
  <hyperlinks>
    <hyperlink ref="S2" r:id="rId1" xr:uid="{00000000-0004-0000-0200-000000000000}"/>
    <hyperlink ref="S3" r:id="rId2" xr:uid="{00000000-0004-0000-0200-000001000000}"/>
    <hyperlink ref="N46" r:id="rId3" display="https://www.epohony.cz/" xr:uid="{00000000-0004-0000-0200-000002000000}"/>
  </hyperlinks>
  <pageMargins left="0.42" right="0.38" top="0.78740157499999996" bottom="0.78740157499999996" header="0.3" footer="0.3"/>
  <pageSetup paperSize="9" scale="31" fitToHeight="0" orientation="portrait" r:id="rId4"/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M234"/>
  <sheetViews>
    <sheetView showWhiteSpace="0" zoomScaleNormal="100" workbookViewId="0">
      <selection activeCell="H17" sqref="H17"/>
    </sheetView>
  </sheetViews>
  <sheetFormatPr defaultColWidth="11.42578125" defaultRowHeight="14.25" x14ac:dyDescent="0.3"/>
  <cols>
    <col min="1" max="1" width="21.85546875" style="12" customWidth="1"/>
    <col min="2" max="2" width="55" style="7" customWidth="1"/>
    <col min="3" max="3" width="8" style="11" customWidth="1"/>
    <col min="4" max="4" width="7" style="10" customWidth="1"/>
    <col min="5" max="5" width="7" style="7" customWidth="1"/>
    <col min="6" max="6" width="6" style="9" customWidth="1"/>
    <col min="7" max="7" width="9" style="8" customWidth="1"/>
    <col min="8" max="8" width="8.140625" style="8" customWidth="1"/>
    <col min="9" max="9" width="11.42578125" style="8"/>
    <col min="10" max="10" width="11.42578125" style="7"/>
    <col min="11" max="16384" width="11.42578125" style="6"/>
  </cols>
  <sheetData>
    <row r="4" spans="1:13" ht="37.5" customHeight="1" x14ac:dyDescent="0.3">
      <c r="F4" s="9" t="s">
        <v>11</v>
      </c>
      <c r="G4" s="8" t="s">
        <v>11</v>
      </c>
      <c r="H4" s="55" t="s">
        <v>11</v>
      </c>
      <c r="I4" s="8" t="s">
        <v>11</v>
      </c>
    </row>
    <row r="5" spans="1:13" ht="24.75" customHeight="1" thickBot="1" x14ac:dyDescent="0.4">
      <c r="A5" s="188" t="s">
        <v>439</v>
      </c>
      <c r="B5" s="188"/>
      <c r="C5" s="188"/>
      <c r="D5" s="188"/>
      <c r="E5" s="188"/>
      <c r="G5" s="56" t="s">
        <v>440</v>
      </c>
    </row>
    <row r="6" spans="1:13" ht="10.5" customHeight="1" thickTop="1" thickBot="1" x14ac:dyDescent="0.35">
      <c r="C6" s="7"/>
      <c r="D6" s="8"/>
      <c r="G6" s="9"/>
    </row>
    <row r="7" spans="1:13" s="49" customFormat="1" ht="16.5" customHeight="1" thickBot="1" x14ac:dyDescent="0.35">
      <c r="A7" s="36" t="s">
        <v>125</v>
      </c>
      <c r="B7" s="35" t="s">
        <v>124</v>
      </c>
      <c r="C7" s="28" t="s">
        <v>123</v>
      </c>
      <c r="D7" s="43" t="s">
        <v>122</v>
      </c>
      <c r="E7" s="28" t="s">
        <v>121</v>
      </c>
      <c r="F7" s="47"/>
      <c r="G7" s="56" t="s">
        <v>15</v>
      </c>
      <c r="H7" s="8"/>
      <c r="I7" s="8"/>
      <c r="J7" s="54"/>
    </row>
    <row r="8" spans="1:13" s="49" customFormat="1" ht="13.5" customHeight="1" x14ac:dyDescent="0.3">
      <c r="A8" s="53" t="s">
        <v>438</v>
      </c>
      <c r="B8" s="52" t="s">
        <v>437</v>
      </c>
      <c r="C8" s="42">
        <f t="shared" ref="C8:C32" si="0">E8*27</f>
        <v>37.799999999999997</v>
      </c>
      <c r="D8" s="51" t="s">
        <v>50</v>
      </c>
      <c r="E8" s="50">
        <v>1.4</v>
      </c>
      <c r="F8" s="47"/>
      <c r="G8" s="8"/>
      <c r="H8" s="10"/>
      <c r="I8" s="10"/>
      <c r="J8" s="11"/>
    </row>
    <row r="9" spans="1:13" s="49" customFormat="1" ht="15" customHeight="1" x14ac:dyDescent="0.3">
      <c r="A9" s="48" t="s">
        <v>436</v>
      </c>
      <c r="B9" s="44" t="s">
        <v>435</v>
      </c>
      <c r="C9" s="42">
        <f t="shared" si="0"/>
        <v>35.1</v>
      </c>
      <c r="D9" s="45" t="s">
        <v>50</v>
      </c>
      <c r="E9" s="21">
        <v>1.3</v>
      </c>
      <c r="F9" s="47"/>
      <c r="G9" s="55" t="s">
        <v>553</v>
      </c>
      <c r="H9" s="10"/>
      <c r="I9" s="10"/>
      <c r="J9" s="11"/>
    </row>
    <row r="10" spans="1:13" s="49" customFormat="1" ht="15" customHeight="1" x14ac:dyDescent="0.3">
      <c r="A10" s="24" t="s">
        <v>434</v>
      </c>
      <c r="B10" s="34" t="s">
        <v>433</v>
      </c>
      <c r="C10" s="42">
        <f t="shared" si="0"/>
        <v>29.700000000000003</v>
      </c>
      <c r="D10" s="45" t="s">
        <v>50</v>
      </c>
      <c r="E10" s="21">
        <v>1.1000000000000001</v>
      </c>
      <c r="F10" s="47"/>
      <c r="G10" s="8"/>
      <c r="H10" s="10"/>
      <c r="I10" s="10"/>
      <c r="J10" s="11"/>
    </row>
    <row r="11" spans="1:13" s="49" customFormat="1" ht="15" customHeight="1" x14ac:dyDescent="0.3">
      <c r="A11" s="24" t="s">
        <v>432</v>
      </c>
      <c r="B11" s="34" t="s">
        <v>431</v>
      </c>
      <c r="C11" s="42">
        <f t="shared" si="0"/>
        <v>29.700000000000003</v>
      </c>
      <c r="D11" s="45" t="s">
        <v>50</v>
      </c>
      <c r="E11" s="21">
        <v>1.1000000000000001</v>
      </c>
      <c r="F11" s="47"/>
      <c r="G11" s="8"/>
      <c r="H11" t="s">
        <v>560</v>
      </c>
      <c r="I11"/>
      <c r="J11"/>
      <c r="K11"/>
      <c r="L11" t="s">
        <v>562</v>
      </c>
      <c r="M11"/>
    </row>
    <row r="12" spans="1:13" s="46" customFormat="1" ht="13.5" customHeight="1" x14ac:dyDescent="0.3">
      <c r="A12" s="24" t="s">
        <v>430</v>
      </c>
      <c r="B12" s="34" t="s">
        <v>429</v>
      </c>
      <c r="C12" s="42">
        <f t="shared" si="0"/>
        <v>40.5</v>
      </c>
      <c r="D12" s="45" t="s">
        <v>50</v>
      </c>
      <c r="E12" s="21">
        <v>1.5</v>
      </c>
      <c r="F12" s="47"/>
      <c r="G12" s="8"/>
      <c r="H12" t="s">
        <v>561</v>
      </c>
      <c r="I12"/>
      <c r="J12"/>
      <c r="K12"/>
      <c r="L12"/>
      <c r="M12"/>
    </row>
    <row r="13" spans="1:13" s="46" customFormat="1" ht="13.5" customHeight="1" x14ac:dyDescent="0.3">
      <c r="A13" s="24" t="s">
        <v>428</v>
      </c>
      <c r="B13" s="34" t="s">
        <v>427</v>
      </c>
      <c r="C13" s="42">
        <f t="shared" si="0"/>
        <v>40.5</v>
      </c>
      <c r="D13" s="45" t="s">
        <v>50</v>
      </c>
      <c r="E13" s="21">
        <v>1.5</v>
      </c>
      <c r="F13" s="47"/>
      <c r="G13" s="8"/>
      <c r="H13"/>
      <c r="I13"/>
      <c r="J13"/>
      <c r="K13"/>
      <c r="L13"/>
      <c r="M13"/>
    </row>
    <row r="14" spans="1:13" s="46" customFormat="1" ht="13.5" customHeight="1" x14ac:dyDescent="0.3">
      <c r="A14" s="48" t="s">
        <v>426</v>
      </c>
      <c r="B14" s="44" t="s">
        <v>425</v>
      </c>
      <c r="C14" s="42">
        <f t="shared" si="0"/>
        <v>132.30000000000001</v>
      </c>
      <c r="D14" s="45" t="s">
        <v>36</v>
      </c>
      <c r="E14" s="21">
        <v>4.9000000000000004</v>
      </c>
      <c r="F14" s="47"/>
      <c r="G14" s="8"/>
      <c r="H14" s="10"/>
      <c r="I14" s="10"/>
      <c r="J14" s="11"/>
    </row>
    <row r="15" spans="1:13" s="46" customFormat="1" ht="13.5" customHeight="1" x14ac:dyDescent="0.3">
      <c r="A15" s="48" t="s">
        <v>424</v>
      </c>
      <c r="B15" s="44" t="s">
        <v>423</v>
      </c>
      <c r="C15" s="42">
        <f t="shared" si="0"/>
        <v>164.7</v>
      </c>
      <c r="D15" s="45" t="s">
        <v>36</v>
      </c>
      <c r="E15" s="21">
        <v>6.1</v>
      </c>
      <c r="F15" s="47"/>
      <c r="G15" s="8"/>
      <c r="H15" s="10"/>
      <c r="I15" s="10"/>
      <c r="J15" s="11"/>
    </row>
    <row r="16" spans="1:13" ht="13.5" customHeight="1" x14ac:dyDescent="0.3">
      <c r="A16" s="24" t="s">
        <v>422</v>
      </c>
      <c r="B16" s="34" t="s">
        <v>421</v>
      </c>
      <c r="C16" s="42">
        <f t="shared" si="0"/>
        <v>97.2</v>
      </c>
      <c r="D16" s="45" t="s">
        <v>36</v>
      </c>
      <c r="E16" s="21">
        <v>3.6</v>
      </c>
      <c r="F16" s="41"/>
      <c r="H16" s="10"/>
      <c r="I16" s="10"/>
      <c r="J16" s="11"/>
    </row>
    <row r="17" spans="1:10" ht="13.5" customHeight="1" x14ac:dyDescent="0.3">
      <c r="A17" s="24" t="s">
        <v>420</v>
      </c>
      <c r="B17" s="34" t="s">
        <v>419</v>
      </c>
      <c r="C17" s="42">
        <f t="shared" si="0"/>
        <v>113.4</v>
      </c>
      <c r="D17" s="45" t="s">
        <v>36</v>
      </c>
      <c r="E17" s="21">
        <v>4.2</v>
      </c>
      <c r="F17" s="41"/>
      <c r="H17" s="10"/>
      <c r="I17" s="10"/>
      <c r="J17" s="11"/>
    </row>
    <row r="18" spans="1:10" ht="13.5" customHeight="1" x14ac:dyDescent="0.3">
      <c r="A18" s="24" t="s">
        <v>418</v>
      </c>
      <c r="B18" s="34" t="s">
        <v>417</v>
      </c>
      <c r="C18" s="42">
        <f t="shared" si="0"/>
        <v>105.3</v>
      </c>
      <c r="D18" s="45" t="s">
        <v>36</v>
      </c>
      <c r="E18" s="21">
        <v>3.9</v>
      </c>
      <c r="F18" s="41"/>
      <c r="H18" s="10"/>
      <c r="I18" s="10"/>
      <c r="J18" s="11"/>
    </row>
    <row r="19" spans="1:10" ht="13.5" customHeight="1" x14ac:dyDescent="0.3">
      <c r="A19" s="24" t="s">
        <v>416</v>
      </c>
      <c r="B19" s="34" t="s">
        <v>415</v>
      </c>
      <c r="C19" s="42">
        <f t="shared" si="0"/>
        <v>105.3</v>
      </c>
      <c r="D19" s="45" t="s">
        <v>36</v>
      </c>
      <c r="E19" s="21">
        <v>3.9</v>
      </c>
      <c r="F19" s="41"/>
      <c r="H19" s="10"/>
      <c r="I19" s="10"/>
      <c r="J19" s="11"/>
    </row>
    <row r="20" spans="1:10" ht="13.5" customHeight="1" x14ac:dyDescent="0.3">
      <c r="A20" s="24" t="s">
        <v>414</v>
      </c>
      <c r="B20" s="34" t="s">
        <v>413</v>
      </c>
      <c r="C20" s="42">
        <f t="shared" si="0"/>
        <v>32.4</v>
      </c>
      <c r="D20" s="33" t="s">
        <v>50</v>
      </c>
      <c r="E20" s="21">
        <v>1.2</v>
      </c>
      <c r="F20" s="41"/>
      <c r="H20" s="10"/>
      <c r="I20" s="10"/>
      <c r="J20" s="11"/>
    </row>
    <row r="21" spans="1:10" ht="13.5" customHeight="1" x14ac:dyDescent="0.3">
      <c r="A21" s="24" t="s">
        <v>412</v>
      </c>
      <c r="B21" s="34" t="s">
        <v>411</v>
      </c>
      <c r="C21" s="42">
        <f t="shared" si="0"/>
        <v>32.4</v>
      </c>
      <c r="D21" s="33" t="s">
        <v>50</v>
      </c>
      <c r="E21" s="21">
        <v>1.2</v>
      </c>
      <c r="F21" s="41"/>
      <c r="H21" s="10"/>
      <c r="I21" s="10"/>
      <c r="J21" s="11"/>
    </row>
    <row r="22" spans="1:10" ht="13.5" customHeight="1" x14ac:dyDescent="0.3">
      <c r="A22" s="24" t="s">
        <v>410</v>
      </c>
      <c r="B22" s="34" t="s">
        <v>409</v>
      </c>
      <c r="C22" s="42">
        <f t="shared" si="0"/>
        <v>78.3</v>
      </c>
      <c r="D22" s="33" t="s">
        <v>36</v>
      </c>
      <c r="E22" s="21">
        <v>2.9</v>
      </c>
      <c r="F22" s="41"/>
      <c r="H22" s="10"/>
      <c r="I22" s="10"/>
      <c r="J22" s="11"/>
    </row>
    <row r="23" spans="1:10" ht="13.5" customHeight="1" x14ac:dyDescent="0.3">
      <c r="A23" s="24" t="s">
        <v>408</v>
      </c>
      <c r="B23" s="34" t="s">
        <v>407</v>
      </c>
      <c r="C23" s="42">
        <f t="shared" si="0"/>
        <v>83.7</v>
      </c>
      <c r="D23" s="33" t="s">
        <v>36</v>
      </c>
      <c r="E23" s="21">
        <v>3.1</v>
      </c>
      <c r="F23" s="41"/>
      <c r="H23" s="10"/>
      <c r="I23" s="10"/>
      <c r="J23" s="11"/>
    </row>
    <row r="24" spans="1:10" x14ac:dyDescent="0.3">
      <c r="A24" s="24" t="s">
        <v>406</v>
      </c>
      <c r="B24" s="34" t="s">
        <v>405</v>
      </c>
      <c r="C24" s="42">
        <f t="shared" si="0"/>
        <v>64.8</v>
      </c>
      <c r="D24" s="33" t="s">
        <v>36</v>
      </c>
      <c r="E24" s="21">
        <v>2.4</v>
      </c>
      <c r="F24" s="41"/>
      <c r="H24" s="10"/>
      <c r="I24" s="10"/>
      <c r="J24" s="11"/>
    </row>
    <row r="25" spans="1:10" x14ac:dyDescent="0.3">
      <c r="A25" s="24" t="s">
        <v>404</v>
      </c>
      <c r="B25" s="34" t="s">
        <v>403</v>
      </c>
      <c r="C25" s="42">
        <f t="shared" si="0"/>
        <v>89.1</v>
      </c>
      <c r="D25" s="33" t="s">
        <v>36</v>
      </c>
      <c r="E25" s="21">
        <v>3.3</v>
      </c>
      <c r="F25" s="41"/>
      <c r="H25" s="10"/>
      <c r="I25" s="10"/>
      <c r="J25" s="11"/>
    </row>
    <row r="26" spans="1:10" ht="13.5" customHeight="1" x14ac:dyDescent="0.3">
      <c r="A26" s="24" t="s">
        <v>402</v>
      </c>
      <c r="B26" s="34" t="s">
        <v>401</v>
      </c>
      <c r="C26" s="42">
        <f t="shared" si="0"/>
        <v>29.700000000000003</v>
      </c>
      <c r="D26" s="33" t="s">
        <v>50</v>
      </c>
      <c r="E26" s="21">
        <v>1.1000000000000001</v>
      </c>
      <c r="F26" s="41"/>
      <c r="H26" s="10"/>
      <c r="I26" s="10"/>
      <c r="J26" s="11"/>
    </row>
    <row r="27" spans="1:10" ht="13.5" customHeight="1" x14ac:dyDescent="0.3">
      <c r="A27" s="24" t="s">
        <v>400</v>
      </c>
      <c r="B27" s="34" t="s">
        <v>399</v>
      </c>
      <c r="C27" s="42">
        <f t="shared" si="0"/>
        <v>29.700000000000003</v>
      </c>
      <c r="D27" s="33" t="s">
        <v>50</v>
      </c>
      <c r="E27" s="21">
        <v>1.1000000000000001</v>
      </c>
      <c r="F27" s="41"/>
      <c r="H27" s="10"/>
      <c r="I27" s="10"/>
      <c r="J27" s="11"/>
    </row>
    <row r="28" spans="1:10" ht="13.5" customHeight="1" x14ac:dyDescent="0.3">
      <c r="A28" s="24" t="s">
        <v>398</v>
      </c>
      <c r="B28" s="34" t="s">
        <v>397</v>
      </c>
      <c r="C28" s="42">
        <f t="shared" si="0"/>
        <v>29.700000000000003</v>
      </c>
      <c r="D28" s="33" t="s">
        <v>50</v>
      </c>
      <c r="E28" s="21">
        <v>1.1000000000000001</v>
      </c>
      <c r="F28" s="41"/>
      <c r="H28" s="10"/>
      <c r="I28" s="10"/>
      <c r="J28" s="11"/>
    </row>
    <row r="29" spans="1:10" ht="13.5" customHeight="1" x14ac:dyDescent="0.3">
      <c r="A29" s="24" t="s">
        <v>396</v>
      </c>
      <c r="B29" s="34" t="s">
        <v>395</v>
      </c>
      <c r="C29" s="42">
        <f t="shared" si="0"/>
        <v>83.7</v>
      </c>
      <c r="D29" s="33" t="s">
        <v>36</v>
      </c>
      <c r="E29" s="21">
        <v>3.1</v>
      </c>
      <c r="F29" s="41"/>
      <c r="H29" s="10"/>
      <c r="I29" s="10"/>
      <c r="J29" s="11"/>
    </row>
    <row r="30" spans="1:10" ht="13.5" customHeight="1" x14ac:dyDescent="0.3">
      <c r="A30" s="24" t="s">
        <v>394</v>
      </c>
      <c r="B30" s="44" t="s">
        <v>393</v>
      </c>
      <c r="C30" s="42">
        <f t="shared" si="0"/>
        <v>97.2</v>
      </c>
      <c r="D30" s="33" t="s">
        <v>36</v>
      </c>
      <c r="E30" s="21">
        <v>3.6</v>
      </c>
      <c r="F30" s="41"/>
      <c r="H30" s="10"/>
      <c r="I30" s="10"/>
      <c r="J30" s="11"/>
    </row>
    <row r="31" spans="1:10" ht="13.5" customHeight="1" x14ac:dyDescent="0.3">
      <c r="A31" s="24" t="s">
        <v>392</v>
      </c>
      <c r="B31" s="34" t="s">
        <v>391</v>
      </c>
      <c r="C31" s="42">
        <f t="shared" si="0"/>
        <v>78.3</v>
      </c>
      <c r="D31" s="33" t="s">
        <v>36</v>
      </c>
      <c r="E31" s="21">
        <v>2.9</v>
      </c>
      <c r="F31" s="41"/>
      <c r="H31" s="10"/>
      <c r="I31" s="10"/>
      <c r="J31" s="11"/>
    </row>
    <row r="32" spans="1:10" ht="13.5" customHeight="1" x14ac:dyDescent="0.3">
      <c r="A32" s="24" t="s">
        <v>390</v>
      </c>
      <c r="B32" s="34" t="s">
        <v>389</v>
      </c>
      <c r="C32" s="42">
        <f t="shared" si="0"/>
        <v>67.5</v>
      </c>
      <c r="D32" s="33" t="s">
        <v>36</v>
      </c>
      <c r="E32" s="21">
        <v>2.5</v>
      </c>
      <c r="F32" s="41"/>
      <c r="H32" s="10"/>
      <c r="I32" s="10"/>
      <c r="J32" s="11"/>
    </row>
    <row r="33" spans="1:10" ht="13.5" customHeight="1" x14ac:dyDescent="0.3">
      <c r="A33" s="24" t="s">
        <v>388</v>
      </c>
      <c r="B33" s="34" t="s">
        <v>387</v>
      </c>
      <c r="C33" s="42">
        <v>93</v>
      </c>
      <c r="D33" s="33" t="s">
        <v>36</v>
      </c>
      <c r="E33" s="21">
        <v>4.3</v>
      </c>
      <c r="F33" s="41"/>
      <c r="H33" s="10"/>
      <c r="I33" s="10"/>
      <c r="J33" s="11"/>
    </row>
    <row r="34" spans="1:10" ht="13.5" customHeight="1" x14ac:dyDescent="0.3">
      <c r="A34" s="24" t="s">
        <v>386</v>
      </c>
      <c r="B34" s="34" t="s">
        <v>385</v>
      </c>
      <c r="C34" s="42">
        <v>27</v>
      </c>
      <c r="D34" s="33" t="s">
        <v>50</v>
      </c>
      <c r="E34" s="21">
        <v>1</v>
      </c>
      <c r="F34" s="41"/>
      <c r="H34" s="10"/>
      <c r="I34" s="10"/>
      <c r="J34" s="11"/>
    </row>
    <row r="35" spans="1:10" ht="13.5" customHeight="1" x14ac:dyDescent="0.3">
      <c r="A35" s="24" t="s">
        <v>384</v>
      </c>
      <c r="B35" s="34" t="s">
        <v>383</v>
      </c>
      <c r="C35" s="42">
        <v>32.4</v>
      </c>
      <c r="D35" s="33" t="s">
        <v>50</v>
      </c>
      <c r="E35" s="21">
        <v>1.2</v>
      </c>
      <c r="F35" s="41"/>
      <c r="H35" s="10"/>
      <c r="I35" s="10"/>
      <c r="J35" s="11"/>
    </row>
    <row r="36" spans="1:10" ht="13.5" customHeight="1" x14ac:dyDescent="0.3">
      <c r="A36" s="24" t="s">
        <v>382</v>
      </c>
      <c r="B36" s="34" t="s">
        <v>381</v>
      </c>
      <c r="C36" s="42">
        <v>124</v>
      </c>
      <c r="D36" s="33" t="s">
        <v>36</v>
      </c>
      <c r="E36" s="21">
        <v>4.5999999999999996</v>
      </c>
      <c r="F36" s="41"/>
      <c r="H36" s="10"/>
      <c r="I36" s="10"/>
      <c r="J36" s="11"/>
    </row>
    <row r="37" spans="1:10" ht="13.5" customHeight="1" x14ac:dyDescent="0.3">
      <c r="A37" s="24" t="s">
        <v>380</v>
      </c>
      <c r="B37" s="34" t="s">
        <v>379</v>
      </c>
      <c r="C37" s="42">
        <f t="shared" ref="C37:C55" si="1">E37*27</f>
        <v>99.9</v>
      </c>
      <c r="D37" s="33" t="s">
        <v>36</v>
      </c>
      <c r="E37" s="21">
        <v>3.7</v>
      </c>
      <c r="F37" s="41"/>
      <c r="H37" s="10"/>
      <c r="I37" s="10"/>
      <c r="J37" s="11"/>
    </row>
    <row r="38" spans="1:10" ht="13.5" customHeight="1" x14ac:dyDescent="0.3">
      <c r="A38" s="24" t="s">
        <v>378</v>
      </c>
      <c r="B38" s="34" t="s">
        <v>377</v>
      </c>
      <c r="C38" s="42">
        <f t="shared" si="1"/>
        <v>37.799999999999997</v>
      </c>
      <c r="D38" s="33" t="s">
        <v>36</v>
      </c>
      <c r="E38" s="21">
        <v>1.4</v>
      </c>
      <c r="F38" s="41"/>
      <c r="H38" s="10"/>
      <c r="I38" s="10"/>
      <c r="J38" s="11"/>
    </row>
    <row r="39" spans="1:10" ht="13.5" customHeight="1" x14ac:dyDescent="0.3">
      <c r="A39" s="24" t="s">
        <v>376</v>
      </c>
      <c r="B39" s="34" t="s">
        <v>375</v>
      </c>
      <c r="C39" s="42">
        <f t="shared" si="1"/>
        <v>45.9</v>
      </c>
      <c r="D39" s="33" t="s">
        <v>36</v>
      </c>
      <c r="E39" s="21">
        <v>1.7</v>
      </c>
      <c r="F39" s="41"/>
      <c r="H39" s="10"/>
      <c r="I39" s="10"/>
      <c r="J39" s="11"/>
    </row>
    <row r="40" spans="1:10" ht="13.5" customHeight="1" x14ac:dyDescent="0.3">
      <c r="A40" s="24" t="s">
        <v>374</v>
      </c>
      <c r="B40" s="34" t="s">
        <v>373</v>
      </c>
      <c r="C40" s="42">
        <f t="shared" si="1"/>
        <v>37.799999999999997</v>
      </c>
      <c r="D40" s="33" t="s">
        <v>36</v>
      </c>
      <c r="E40" s="21">
        <v>1.4</v>
      </c>
      <c r="F40" s="41"/>
      <c r="H40" s="10"/>
      <c r="I40" s="10"/>
      <c r="J40" s="11"/>
    </row>
    <row r="41" spans="1:10" ht="13.5" customHeight="1" x14ac:dyDescent="0.3">
      <c r="A41" s="24" t="s">
        <v>361</v>
      </c>
      <c r="B41" s="34" t="s">
        <v>372</v>
      </c>
      <c r="C41" s="42">
        <f t="shared" si="1"/>
        <v>75.599999999999994</v>
      </c>
      <c r="D41" s="33" t="s">
        <v>50</v>
      </c>
      <c r="E41" s="21">
        <v>2.8</v>
      </c>
      <c r="F41" s="41"/>
      <c r="H41" s="10"/>
      <c r="I41" s="10"/>
      <c r="J41" s="11"/>
    </row>
    <row r="42" spans="1:10" ht="13.5" customHeight="1" x14ac:dyDescent="0.3">
      <c r="A42" s="24" t="s">
        <v>371</v>
      </c>
      <c r="B42" s="34" t="s">
        <v>370</v>
      </c>
      <c r="C42" s="42">
        <f t="shared" si="1"/>
        <v>126.9</v>
      </c>
      <c r="D42" s="33" t="s">
        <v>50</v>
      </c>
      <c r="E42" s="21">
        <v>4.7</v>
      </c>
      <c r="F42" s="41"/>
      <c r="H42" s="10"/>
      <c r="I42" s="10"/>
      <c r="J42" s="11"/>
    </row>
    <row r="43" spans="1:10" ht="13.5" customHeight="1" x14ac:dyDescent="0.3">
      <c r="A43" s="24" t="s">
        <v>357</v>
      </c>
      <c r="B43" s="34" t="s">
        <v>369</v>
      </c>
      <c r="C43" s="42">
        <f t="shared" si="1"/>
        <v>78.3</v>
      </c>
      <c r="D43" s="33" t="s">
        <v>50</v>
      </c>
      <c r="E43" s="21">
        <v>2.9</v>
      </c>
      <c r="F43" s="41"/>
      <c r="H43" s="10"/>
      <c r="I43" s="10"/>
      <c r="J43" s="11"/>
    </row>
    <row r="44" spans="1:10" ht="13.5" customHeight="1" x14ac:dyDescent="0.3">
      <c r="A44" s="24" t="s">
        <v>359</v>
      </c>
      <c r="B44" s="34" t="s">
        <v>368</v>
      </c>
      <c r="C44" s="42">
        <f t="shared" si="1"/>
        <v>78.3</v>
      </c>
      <c r="D44" s="33" t="s">
        <v>50</v>
      </c>
      <c r="E44" s="21">
        <v>2.9</v>
      </c>
      <c r="F44" s="41"/>
      <c r="H44" s="10"/>
      <c r="I44" s="10"/>
      <c r="J44" s="11"/>
    </row>
    <row r="45" spans="1:10" ht="13.5" customHeight="1" x14ac:dyDescent="0.3">
      <c r="A45" s="24" t="s">
        <v>355</v>
      </c>
      <c r="B45" s="34" t="s">
        <v>367</v>
      </c>
      <c r="C45" s="42">
        <f t="shared" si="1"/>
        <v>78.3</v>
      </c>
      <c r="D45" s="33" t="s">
        <v>50</v>
      </c>
      <c r="E45" s="21">
        <v>2.9</v>
      </c>
      <c r="F45" s="41"/>
      <c r="H45" s="10"/>
      <c r="I45" s="10"/>
      <c r="J45" s="11"/>
    </row>
    <row r="46" spans="1:10" ht="13.5" customHeight="1" x14ac:dyDescent="0.3">
      <c r="A46" s="24" t="s">
        <v>338</v>
      </c>
      <c r="B46" s="34" t="s">
        <v>366</v>
      </c>
      <c r="C46" s="42">
        <f t="shared" si="1"/>
        <v>126.9</v>
      </c>
      <c r="D46" s="33" t="s">
        <v>50</v>
      </c>
      <c r="E46" s="21">
        <v>4.7</v>
      </c>
      <c r="F46" s="41"/>
      <c r="H46" s="10"/>
      <c r="I46" s="10"/>
      <c r="J46" s="11"/>
    </row>
    <row r="47" spans="1:10" ht="13.5" customHeight="1" x14ac:dyDescent="0.3">
      <c r="A47" s="24" t="s">
        <v>351</v>
      </c>
      <c r="B47" s="34" t="s">
        <v>365</v>
      </c>
      <c r="C47" s="42">
        <f t="shared" si="1"/>
        <v>78.3</v>
      </c>
      <c r="D47" s="33" t="s">
        <v>50</v>
      </c>
      <c r="E47" s="21">
        <v>2.9</v>
      </c>
      <c r="F47" s="41"/>
      <c r="H47" s="10"/>
      <c r="I47" s="10"/>
      <c r="J47" s="11"/>
    </row>
    <row r="48" spans="1:10" ht="13.5" customHeight="1" x14ac:dyDescent="0.3">
      <c r="A48" s="24" t="s">
        <v>353</v>
      </c>
      <c r="B48" s="34" t="s">
        <v>364</v>
      </c>
      <c r="C48" s="42">
        <f t="shared" si="1"/>
        <v>78.3</v>
      </c>
      <c r="D48" s="33" t="s">
        <v>50</v>
      </c>
      <c r="E48" s="21">
        <v>2.9</v>
      </c>
      <c r="F48" s="41"/>
      <c r="H48" s="10"/>
      <c r="I48" s="10"/>
      <c r="J48" s="11"/>
    </row>
    <row r="49" spans="1:10" ht="13.5" customHeight="1" x14ac:dyDescent="0.3">
      <c r="A49" s="24" t="s">
        <v>363</v>
      </c>
      <c r="B49" s="34" t="s">
        <v>362</v>
      </c>
      <c r="C49" s="42">
        <f t="shared" si="1"/>
        <v>51.3</v>
      </c>
      <c r="D49" s="33" t="s">
        <v>50</v>
      </c>
      <c r="E49" s="21">
        <v>1.9</v>
      </c>
      <c r="F49" s="41"/>
      <c r="H49" s="10"/>
      <c r="I49" s="10"/>
      <c r="J49" s="11"/>
    </row>
    <row r="50" spans="1:10" ht="13.5" customHeight="1" x14ac:dyDescent="0.3">
      <c r="A50" s="24" t="s">
        <v>361</v>
      </c>
      <c r="B50" s="34" t="s">
        <v>360</v>
      </c>
      <c r="C50" s="42">
        <f t="shared" si="1"/>
        <v>37.799999999999997</v>
      </c>
      <c r="D50" s="33" t="s">
        <v>50</v>
      </c>
      <c r="E50" s="21">
        <v>1.4</v>
      </c>
      <c r="F50" s="41"/>
      <c r="H50" s="10"/>
      <c r="I50" s="10"/>
      <c r="J50" s="11"/>
    </row>
    <row r="51" spans="1:10" ht="13.5" customHeight="1" x14ac:dyDescent="0.3">
      <c r="A51" s="24" t="s">
        <v>359</v>
      </c>
      <c r="B51" s="34" t="s">
        <v>358</v>
      </c>
      <c r="C51" s="42">
        <f t="shared" si="1"/>
        <v>37.799999999999997</v>
      </c>
      <c r="D51" s="33" t="s">
        <v>50</v>
      </c>
      <c r="E51" s="21">
        <v>1.4</v>
      </c>
      <c r="F51" s="41"/>
      <c r="H51" s="10"/>
      <c r="I51" s="10"/>
      <c r="J51" s="11"/>
    </row>
    <row r="52" spans="1:10" ht="13.5" customHeight="1" x14ac:dyDescent="0.3">
      <c r="A52" s="24" t="s">
        <v>357</v>
      </c>
      <c r="B52" s="34" t="s">
        <v>356</v>
      </c>
      <c r="C52" s="42">
        <f t="shared" si="1"/>
        <v>37.799999999999997</v>
      </c>
      <c r="D52" s="33" t="s">
        <v>50</v>
      </c>
      <c r="E52" s="21">
        <v>1.4</v>
      </c>
      <c r="F52" s="41"/>
      <c r="H52" s="10"/>
      <c r="I52" s="10"/>
      <c r="J52" s="11"/>
    </row>
    <row r="53" spans="1:10" ht="13.5" customHeight="1" x14ac:dyDescent="0.3">
      <c r="A53" s="24" t="s">
        <v>355</v>
      </c>
      <c r="B53" s="34" t="s">
        <v>354</v>
      </c>
      <c r="C53" s="42">
        <f t="shared" si="1"/>
        <v>37.799999999999997</v>
      </c>
      <c r="D53" s="33" t="s">
        <v>50</v>
      </c>
      <c r="E53" s="21">
        <v>1.4</v>
      </c>
      <c r="F53" s="41"/>
      <c r="H53" s="10"/>
      <c r="I53" s="10"/>
      <c r="J53" s="11"/>
    </row>
    <row r="54" spans="1:10" ht="13.5" customHeight="1" x14ac:dyDescent="0.3">
      <c r="A54" s="24" t="s">
        <v>353</v>
      </c>
      <c r="B54" s="34" t="s">
        <v>352</v>
      </c>
      <c r="C54" s="42">
        <f t="shared" si="1"/>
        <v>37.799999999999997</v>
      </c>
      <c r="D54" s="33" t="s">
        <v>50</v>
      </c>
      <c r="E54" s="21">
        <v>1.4</v>
      </c>
      <c r="F54" s="41"/>
      <c r="H54" s="10"/>
      <c r="I54" s="10"/>
      <c r="J54" s="11"/>
    </row>
    <row r="55" spans="1:10" ht="13.5" customHeight="1" thickBot="1" x14ac:dyDescent="0.35">
      <c r="A55" s="39" t="s">
        <v>351</v>
      </c>
      <c r="B55" s="38" t="s">
        <v>350</v>
      </c>
      <c r="C55" s="42">
        <f t="shared" si="1"/>
        <v>37.799999999999997</v>
      </c>
      <c r="D55" s="33" t="s">
        <v>50</v>
      </c>
      <c r="E55" s="21">
        <v>1.4</v>
      </c>
      <c r="F55" s="41"/>
      <c r="H55" s="10"/>
      <c r="I55" s="10"/>
      <c r="J55" s="11"/>
    </row>
    <row r="56" spans="1:10" ht="16.5" customHeight="1" thickBot="1" x14ac:dyDescent="0.35">
      <c r="A56" s="189" t="s">
        <v>35</v>
      </c>
      <c r="B56" s="189"/>
      <c r="C56" s="189"/>
      <c r="D56" s="189"/>
      <c r="E56" s="189"/>
      <c r="H56" s="10"/>
      <c r="I56" s="10"/>
      <c r="J56" s="11"/>
    </row>
    <row r="57" spans="1:10" ht="15.75" customHeight="1" thickBot="1" x14ac:dyDescent="0.35">
      <c r="A57" s="36" t="s">
        <v>125</v>
      </c>
      <c r="B57" s="35" t="s">
        <v>124</v>
      </c>
      <c r="C57" s="28" t="s">
        <v>123</v>
      </c>
      <c r="D57" s="43" t="s">
        <v>122</v>
      </c>
      <c r="E57" s="28" t="s">
        <v>121</v>
      </c>
      <c r="H57" s="10"/>
      <c r="I57" s="10"/>
      <c r="J57" s="11"/>
    </row>
    <row r="58" spans="1:10" ht="13.5" customHeight="1" x14ac:dyDescent="0.3">
      <c r="A58" s="24" t="s">
        <v>348</v>
      </c>
      <c r="B58" s="34" t="s">
        <v>349</v>
      </c>
      <c r="C58" s="42">
        <f t="shared" ref="C58:C89" si="2">E58*27</f>
        <v>72.900000000000006</v>
      </c>
      <c r="D58" s="33" t="s">
        <v>50</v>
      </c>
      <c r="E58" s="21">
        <v>2.7</v>
      </c>
      <c r="F58" s="41"/>
      <c r="H58" s="10"/>
      <c r="I58" s="10"/>
      <c r="J58" s="11"/>
    </row>
    <row r="59" spans="1:10" ht="13.5" customHeight="1" x14ac:dyDescent="0.3">
      <c r="A59" s="24" t="s">
        <v>348</v>
      </c>
      <c r="B59" s="34" t="s">
        <v>347</v>
      </c>
      <c r="C59" s="21">
        <f t="shared" si="2"/>
        <v>83.7</v>
      </c>
      <c r="D59" s="22" t="s">
        <v>50</v>
      </c>
      <c r="E59" s="21">
        <v>3.1</v>
      </c>
      <c r="F59" s="41"/>
      <c r="H59" s="10"/>
      <c r="I59" s="10"/>
      <c r="J59" s="11"/>
    </row>
    <row r="60" spans="1:10" ht="13.5" customHeight="1" x14ac:dyDescent="0.3">
      <c r="A60" s="24" t="s">
        <v>346</v>
      </c>
      <c r="B60" s="34" t="s">
        <v>345</v>
      </c>
      <c r="C60" s="21">
        <f t="shared" si="2"/>
        <v>45.9</v>
      </c>
      <c r="D60" s="33" t="s">
        <v>36</v>
      </c>
      <c r="E60" s="21">
        <v>1.7</v>
      </c>
      <c r="H60" s="10"/>
      <c r="I60" s="10"/>
      <c r="J60" s="11"/>
    </row>
    <row r="61" spans="1:10" ht="13.5" customHeight="1" x14ac:dyDescent="0.3">
      <c r="A61" s="24" t="s">
        <v>344</v>
      </c>
      <c r="B61" s="34" t="s">
        <v>343</v>
      </c>
      <c r="C61" s="21">
        <f t="shared" si="2"/>
        <v>35.1</v>
      </c>
      <c r="D61" s="33" t="s">
        <v>36</v>
      </c>
      <c r="E61" s="21">
        <v>1.3</v>
      </c>
      <c r="H61" s="10"/>
      <c r="I61" s="10"/>
      <c r="J61" s="11"/>
    </row>
    <row r="62" spans="1:10" ht="13.5" customHeight="1" x14ac:dyDescent="0.3">
      <c r="A62" s="24" t="s">
        <v>342</v>
      </c>
      <c r="B62" s="34" t="s">
        <v>341</v>
      </c>
      <c r="C62" s="21">
        <f t="shared" si="2"/>
        <v>40.5</v>
      </c>
      <c r="D62" s="33" t="s">
        <v>36</v>
      </c>
      <c r="E62" s="21">
        <v>1.5</v>
      </c>
      <c r="H62" s="10"/>
      <c r="I62" s="10"/>
      <c r="J62" s="11"/>
    </row>
    <row r="63" spans="1:10" ht="13.5" customHeight="1" x14ac:dyDescent="0.3">
      <c r="A63" s="24" t="s">
        <v>340</v>
      </c>
      <c r="B63" s="34" t="s">
        <v>339</v>
      </c>
      <c r="C63" s="21">
        <f t="shared" si="2"/>
        <v>51.3</v>
      </c>
      <c r="D63" s="33" t="s">
        <v>36</v>
      </c>
      <c r="E63" s="21">
        <v>1.9</v>
      </c>
      <c r="H63" s="10"/>
      <c r="I63" s="10"/>
      <c r="J63" s="11"/>
    </row>
    <row r="64" spans="1:10" s="40" customFormat="1" ht="13.5" customHeight="1" x14ac:dyDescent="0.3">
      <c r="A64" s="24" t="s">
        <v>338</v>
      </c>
      <c r="B64" s="34" t="s">
        <v>337</v>
      </c>
      <c r="C64" s="21">
        <f t="shared" si="2"/>
        <v>51.3</v>
      </c>
      <c r="D64" s="33" t="s">
        <v>36</v>
      </c>
      <c r="E64" s="21">
        <v>1.9</v>
      </c>
      <c r="F64" s="26"/>
      <c r="G64" s="8"/>
      <c r="H64" s="10"/>
      <c r="I64" s="10"/>
      <c r="J64" s="11"/>
    </row>
    <row r="65" spans="1:10" s="40" customFormat="1" ht="13.5" customHeight="1" x14ac:dyDescent="0.3">
      <c r="A65" s="24" t="s">
        <v>336</v>
      </c>
      <c r="B65" s="34" t="s">
        <v>335</v>
      </c>
      <c r="C65" s="21">
        <f t="shared" si="2"/>
        <v>83.7</v>
      </c>
      <c r="D65" s="33" t="s">
        <v>36</v>
      </c>
      <c r="E65" s="21">
        <v>3.1</v>
      </c>
      <c r="F65" s="26"/>
      <c r="G65" s="8"/>
      <c r="H65" s="10"/>
      <c r="I65" s="10"/>
      <c r="J65" s="11"/>
    </row>
    <row r="66" spans="1:10" s="40" customFormat="1" ht="13.5" customHeight="1" x14ac:dyDescent="0.3">
      <c r="A66" s="24" t="s">
        <v>334</v>
      </c>
      <c r="B66" s="34" t="s">
        <v>333</v>
      </c>
      <c r="C66" s="21">
        <f t="shared" si="2"/>
        <v>113.4</v>
      </c>
      <c r="D66" s="33" t="s">
        <v>36</v>
      </c>
      <c r="E66" s="21">
        <v>4.2</v>
      </c>
      <c r="F66" s="26"/>
      <c r="G66" s="8"/>
      <c r="H66" s="10"/>
      <c r="I66" s="10"/>
      <c r="J66" s="11"/>
    </row>
    <row r="67" spans="1:10" s="40" customFormat="1" ht="13.5" customHeight="1" x14ac:dyDescent="0.3">
      <c r="A67" s="24" t="s">
        <v>332</v>
      </c>
      <c r="B67" s="34" t="s">
        <v>331</v>
      </c>
      <c r="C67" s="21">
        <f t="shared" si="2"/>
        <v>294.3</v>
      </c>
      <c r="D67" s="33" t="s">
        <v>36</v>
      </c>
      <c r="E67" s="21">
        <v>10.9</v>
      </c>
      <c r="F67" s="26"/>
      <c r="G67" s="8"/>
      <c r="H67" s="10"/>
      <c r="I67" s="10"/>
      <c r="J67" s="11"/>
    </row>
    <row r="68" spans="1:10" s="40" customFormat="1" ht="13.5" customHeight="1" x14ac:dyDescent="0.3">
      <c r="A68" s="24" t="s">
        <v>330</v>
      </c>
      <c r="B68" s="34" t="s">
        <v>329</v>
      </c>
      <c r="C68" s="21">
        <f t="shared" si="2"/>
        <v>43.2</v>
      </c>
      <c r="D68" s="33" t="s">
        <v>50</v>
      </c>
      <c r="E68" s="21">
        <v>1.6</v>
      </c>
      <c r="F68" s="26"/>
      <c r="G68" s="8"/>
      <c r="H68" s="10"/>
      <c r="I68" s="10"/>
      <c r="J68" s="11"/>
    </row>
    <row r="69" spans="1:10" s="40" customFormat="1" ht="13.5" customHeight="1" x14ac:dyDescent="0.3">
      <c r="A69" s="24" t="s">
        <v>328</v>
      </c>
      <c r="B69" s="34" t="s">
        <v>327</v>
      </c>
      <c r="C69" s="21">
        <f t="shared" si="2"/>
        <v>62.099999999999994</v>
      </c>
      <c r="D69" s="33" t="s">
        <v>50</v>
      </c>
      <c r="E69" s="21">
        <v>2.2999999999999998</v>
      </c>
      <c r="F69" s="26"/>
      <c r="G69" s="8"/>
      <c r="H69" s="10"/>
      <c r="I69" s="10"/>
      <c r="J69" s="11"/>
    </row>
    <row r="70" spans="1:10" s="40" customFormat="1" ht="13.5" customHeight="1" x14ac:dyDescent="0.3">
      <c r="A70" s="24" t="s">
        <v>326</v>
      </c>
      <c r="B70" s="34" t="s">
        <v>325</v>
      </c>
      <c r="C70" s="21">
        <f t="shared" si="2"/>
        <v>121.5</v>
      </c>
      <c r="D70" s="33" t="s">
        <v>36</v>
      </c>
      <c r="E70" s="21">
        <v>4.5</v>
      </c>
      <c r="F70" s="26"/>
      <c r="G70" s="8"/>
      <c r="H70" s="10"/>
      <c r="I70" s="10"/>
      <c r="J70" s="11"/>
    </row>
    <row r="71" spans="1:10" s="40" customFormat="1" ht="13.5" customHeight="1" x14ac:dyDescent="0.3">
      <c r="A71" s="24" t="s">
        <v>324</v>
      </c>
      <c r="B71" s="34" t="s">
        <v>323</v>
      </c>
      <c r="C71" s="21">
        <f t="shared" si="2"/>
        <v>240.3</v>
      </c>
      <c r="D71" s="33" t="s">
        <v>36</v>
      </c>
      <c r="E71" s="21">
        <v>8.9</v>
      </c>
      <c r="F71" s="26"/>
      <c r="G71" s="8"/>
      <c r="H71" s="10"/>
      <c r="I71" s="10"/>
      <c r="J71" s="11"/>
    </row>
    <row r="72" spans="1:10" ht="13.5" customHeight="1" x14ac:dyDescent="0.3">
      <c r="A72" s="24" t="s">
        <v>322</v>
      </c>
      <c r="B72" s="34" t="s">
        <v>321</v>
      </c>
      <c r="C72" s="21">
        <f t="shared" si="2"/>
        <v>129.6</v>
      </c>
      <c r="D72" s="33" t="s">
        <v>36</v>
      </c>
      <c r="E72" s="21">
        <v>4.8</v>
      </c>
      <c r="H72" s="10"/>
      <c r="I72" s="10"/>
      <c r="J72" s="11"/>
    </row>
    <row r="73" spans="1:10" ht="13.5" customHeight="1" x14ac:dyDescent="0.3">
      <c r="A73" s="24" t="s">
        <v>320</v>
      </c>
      <c r="B73" s="34" t="s">
        <v>319</v>
      </c>
      <c r="C73" s="21">
        <f t="shared" si="2"/>
        <v>121.5</v>
      </c>
      <c r="D73" s="33" t="s">
        <v>36</v>
      </c>
      <c r="E73" s="21">
        <v>4.5</v>
      </c>
      <c r="H73" s="10"/>
      <c r="I73" s="10"/>
      <c r="J73" s="11"/>
    </row>
    <row r="74" spans="1:10" ht="13.5" customHeight="1" x14ac:dyDescent="0.3">
      <c r="A74" s="24" t="s">
        <v>318</v>
      </c>
      <c r="B74" s="34" t="s">
        <v>317</v>
      </c>
      <c r="C74" s="21">
        <f t="shared" si="2"/>
        <v>129.6</v>
      </c>
      <c r="D74" s="33" t="s">
        <v>36</v>
      </c>
      <c r="E74" s="21">
        <v>4.8</v>
      </c>
      <c r="H74" s="10"/>
      <c r="I74" s="10"/>
      <c r="J74" s="11"/>
    </row>
    <row r="75" spans="1:10" ht="13.5" customHeight="1" x14ac:dyDescent="0.3">
      <c r="A75" s="24" t="s">
        <v>316</v>
      </c>
      <c r="B75" s="34" t="s">
        <v>315</v>
      </c>
      <c r="C75" s="21">
        <f t="shared" si="2"/>
        <v>137.69999999999999</v>
      </c>
      <c r="D75" s="33" t="s">
        <v>36</v>
      </c>
      <c r="E75" s="21">
        <v>5.0999999999999996</v>
      </c>
      <c r="H75" s="10"/>
      <c r="I75" s="10"/>
      <c r="J75" s="11"/>
    </row>
    <row r="76" spans="1:10" ht="13.5" customHeight="1" x14ac:dyDescent="0.3">
      <c r="A76" s="24" t="s">
        <v>314</v>
      </c>
      <c r="B76" s="34" t="s">
        <v>313</v>
      </c>
      <c r="C76" s="21">
        <f t="shared" si="2"/>
        <v>321.3</v>
      </c>
      <c r="D76" s="33" t="s">
        <v>36</v>
      </c>
      <c r="E76" s="21">
        <v>11.9</v>
      </c>
      <c r="H76" s="10"/>
      <c r="I76" s="10"/>
      <c r="J76" s="11"/>
    </row>
    <row r="77" spans="1:10" ht="13.5" customHeight="1" x14ac:dyDescent="0.3">
      <c r="A77" s="24" t="s">
        <v>312</v>
      </c>
      <c r="B77" s="34" t="s">
        <v>311</v>
      </c>
      <c r="C77" s="21">
        <f t="shared" si="2"/>
        <v>375.3</v>
      </c>
      <c r="D77" s="33" t="s">
        <v>36</v>
      </c>
      <c r="E77" s="21">
        <v>13.9</v>
      </c>
      <c r="H77" s="10"/>
      <c r="I77" s="10"/>
      <c r="J77" s="11"/>
    </row>
    <row r="78" spans="1:10" ht="13.5" customHeight="1" x14ac:dyDescent="0.3">
      <c r="A78" s="24" t="s">
        <v>310</v>
      </c>
      <c r="B78" s="34" t="s">
        <v>309</v>
      </c>
      <c r="C78" s="21">
        <f t="shared" si="2"/>
        <v>70.2</v>
      </c>
      <c r="D78" s="33" t="s">
        <v>36</v>
      </c>
      <c r="E78" s="21">
        <v>2.6</v>
      </c>
      <c r="H78" s="10"/>
      <c r="I78" s="10"/>
      <c r="J78" s="11"/>
    </row>
    <row r="79" spans="1:10" ht="13.5" customHeight="1" x14ac:dyDescent="0.3">
      <c r="A79" s="24" t="s">
        <v>308</v>
      </c>
      <c r="B79" s="34" t="s">
        <v>307</v>
      </c>
      <c r="C79" s="21">
        <f t="shared" si="2"/>
        <v>94.5</v>
      </c>
      <c r="D79" s="33" t="s">
        <v>36</v>
      </c>
      <c r="E79" s="21">
        <v>3.5</v>
      </c>
      <c r="H79" s="10"/>
      <c r="I79" s="10"/>
      <c r="J79" s="11"/>
    </row>
    <row r="80" spans="1:10" ht="13.5" customHeight="1" x14ac:dyDescent="0.3">
      <c r="A80" s="24" t="s">
        <v>306</v>
      </c>
      <c r="B80" s="34" t="s">
        <v>305</v>
      </c>
      <c r="C80" s="21">
        <f t="shared" si="2"/>
        <v>97.2</v>
      </c>
      <c r="D80" s="33" t="s">
        <v>36</v>
      </c>
      <c r="E80" s="21">
        <v>3.6</v>
      </c>
      <c r="H80" s="10"/>
      <c r="I80" s="10"/>
      <c r="J80" s="11"/>
    </row>
    <row r="81" spans="1:10" ht="13.5" customHeight="1" x14ac:dyDescent="0.3">
      <c r="A81" s="24" t="s">
        <v>304</v>
      </c>
      <c r="B81" s="34" t="s">
        <v>303</v>
      </c>
      <c r="C81" s="21">
        <f t="shared" si="2"/>
        <v>129.6</v>
      </c>
      <c r="D81" s="33" t="s">
        <v>36</v>
      </c>
      <c r="E81" s="21">
        <v>4.8</v>
      </c>
      <c r="H81" s="10"/>
      <c r="I81" s="10"/>
      <c r="J81" s="11"/>
    </row>
    <row r="82" spans="1:10" ht="13.5" customHeight="1" x14ac:dyDescent="0.3">
      <c r="A82" s="24" t="s">
        <v>302</v>
      </c>
      <c r="B82" s="34" t="s">
        <v>301</v>
      </c>
      <c r="C82" s="21">
        <f t="shared" si="2"/>
        <v>105.3</v>
      </c>
      <c r="D82" s="33" t="s">
        <v>36</v>
      </c>
      <c r="E82" s="21">
        <v>3.9</v>
      </c>
      <c r="H82" s="10"/>
      <c r="I82" s="10"/>
      <c r="J82" s="11"/>
    </row>
    <row r="83" spans="1:10" ht="13.5" customHeight="1" x14ac:dyDescent="0.3">
      <c r="A83" s="24" t="s">
        <v>300</v>
      </c>
      <c r="B83" s="34" t="s">
        <v>299</v>
      </c>
      <c r="C83" s="21">
        <f t="shared" si="2"/>
        <v>118.80000000000001</v>
      </c>
      <c r="D83" s="33" t="s">
        <v>36</v>
      </c>
      <c r="E83" s="21">
        <v>4.4000000000000004</v>
      </c>
      <c r="H83" s="10"/>
      <c r="I83" s="10"/>
      <c r="J83" s="11"/>
    </row>
    <row r="84" spans="1:10" ht="13.5" customHeight="1" x14ac:dyDescent="0.3">
      <c r="A84" s="24" t="s">
        <v>298</v>
      </c>
      <c r="B84" s="34" t="s">
        <v>297</v>
      </c>
      <c r="C84" s="21">
        <f t="shared" si="2"/>
        <v>145.80000000000001</v>
      </c>
      <c r="D84" s="33" t="s">
        <v>36</v>
      </c>
      <c r="E84" s="21">
        <v>5.4</v>
      </c>
      <c r="H84" s="10"/>
      <c r="I84" s="10"/>
      <c r="J84" s="11"/>
    </row>
    <row r="85" spans="1:10" ht="13.5" customHeight="1" x14ac:dyDescent="0.3">
      <c r="A85" s="24" t="s">
        <v>296</v>
      </c>
      <c r="B85" s="34" t="s">
        <v>295</v>
      </c>
      <c r="C85" s="21">
        <f t="shared" si="2"/>
        <v>159.30000000000001</v>
      </c>
      <c r="D85" s="33" t="s">
        <v>36</v>
      </c>
      <c r="E85" s="21">
        <v>5.9</v>
      </c>
      <c r="H85" s="10"/>
      <c r="I85" s="10"/>
      <c r="J85" s="11"/>
    </row>
    <row r="86" spans="1:10" ht="13.5" customHeight="1" x14ac:dyDescent="0.3">
      <c r="A86" s="24" t="s">
        <v>294</v>
      </c>
      <c r="B86" s="34" t="s">
        <v>293</v>
      </c>
      <c r="C86" s="21">
        <f t="shared" si="2"/>
        <v>116.1</v>
      </c>
      <c r="D86" s="33" t="s">
        <v>36</v>
      </c>
      <c r="E86" s="21">
        <v>4.3</v>
      </c>
      <c r="H86" s="10"/>
      <c r="I86" s="10"/>
      <c r="J86" s="11"/>
    </row>
    <row r="87" spans="1:10" ht="13.5" customHeight="1" x14ac:dyDescent="0.3">
      <c r="A87" s="24" t="s">
        <v>292</v>
      </c>
      <c r="B87" s="34" t="s">
        <v>291</v>
      </c>
      <c r="C87" s="21">
        <f t="shared" si="2"/>
        <v>132.30000000000001</v>
      </c>
      <c r="D87" s="33" t="s">
        <v>36</v>
      </c>
      <c r="E87" s="21">
        <v>4.9000000000000004</v>
      </c>
      <c r="H87" s="10"/>
      <c r="I87" s="10"/>
      <c r="J87" s="11"/>
    </row>
    <row r="88" spans="1:10" ht="13.5" customHeight="1" x14ac:dyDescent="0.3">
      <c r="A88" s="24" t="s">
        <v>290</v>
      </c>
      <c r="B88" s="34" t="s">
        <v>289</v>
      </c>
      <c r="C88" s="21">
        <f t="shared" si="2"/>
        <v>91.8</v>
      </c>
      <c r="D88" s="33" t="s">
        <v>36</v>
      </c>
      <c r="E88" s="21">
        <v>3.4</v>
      </c>
      <c r="H88" s="10"/>
      <c r="I88" s="10"/>
      <c r="J88" s="11"/>
    </row>
    <row r="89" spans="1:10" ht="13.5" customHeight="1" x14ac:dyDescent="0.3">
      <c r="A89" s="24" t="s">
        <v>288</v>
      </c>
      <c r="B89" s="34" t="s">
        <v>287</v>
      </c>
      <c r="C89" s="21">
        <f t="shared" si="2"/>
        <v>116.1</v>
      </c>
      <c r="D89" s="33" t="s">
        <v>36</v>
      </c>
      <c r="E89" s="21">
        <v>4.3</v>
      </c>
      <c r="H89" s="10"/>
      <c r="I89" s="10"/>
      <c r="J89" s="11"/>
    </row>
    <row r="90" spans="1:10" ht="13.5" customHeight="1" x14ac:dyDescent="0.3">
      <c r="A90" s="24" t="s">
        <v>286</v>
      </c>
      <c r="B90" s="34" t="s">
        <v>285</v>
      </c>
      <c r="C90" s="21">
        <f t="shared" ref="C90:C114" si="3">E90*27</f>
        <v>145.80000000000001</v>
      </c>
      <c r="D90" s="33" t="s">
        <v>36</v>
      </c>
      <c r="E90" s="21">
        <v>5.4</v>
      </c>
      <c r="H90" s="10"/>
      <c r="I90" s="10"/>
      <c r="J90" s="11"/>
    </row>
    <row r="91" spans="1:10" ht="13.5" customHeight="1" x14ac:dyDescent="0.3">
      <c r="A91" s="24" t="s">
        <v>284</v>
      </c>
      <c r="B91" s="34" t="s">
        <v>283</v>
      </c>
      <c r="C91" s="21">
        <f t="shared" si="3"/>
        <v>275.39999999999998</v>
      </c>
      <c r="D91" s="33" t="s">
        <v>36</v>
      </c>
      <c r="E91" s="21">
        <v>10.199999999999999</v>
      </c>
      <c r="H91" s="10"/>
      <c r="I91" s="10"/>
      <c r="J91" s="11"/>
    </row>
    <row r="92" spans="1:10" ht="13.5" customHeight="1" x14ac:dyDescent="0.3">
      <c r="A92" s="24" t="s">
        <v>282</v>
      </c>
      <c r="B92" s="34" t="s">
        <v>281</v>
      </c>
      <c r="C92" s="21">
        <f t="shared" si="3"/>
        <v>243</v>
      </c>
      <c r="D92" s="33" t="s">
        <v>36</v>
      </c>
      <c r="E92" s="21">
        <v>9</v>
      </c>
      <c r="H92" s="10"/>
      <c r="I92" s="10"/>
      <c r="J92" s="11"/>
    </row>
    <row r="93" spans="1:10" ht="13.5" customHeight="1" x14ac:dyDescent="0.3">
      <c r="A93" s="24" t="s">
        <v>280</v>
      </c>
      <c r="B93" s="34" t="s">
        <v>279</v>
      </c>
      <c r="C93" s="21">
        <f t="shared" si="3"/>
        <v>29.700000000000003</v>
      </c>
      <c r="D93" s="33" t="s">
        <v>36</v>
      </c>
      <c r="E93" s="21">
        <v>1.1000000000000001</v>
      </c>
      <c r="H93" s="10"/>
      <c r="I93" s="10"/>
      <c r="J93" s="11"/>
    </row>
    <row r="94" spans="1:10" ht="13.5" customHeight="1" x14ac:dyDescent="0.3">
      <c r="A94" s="24" t="s">
        <v>278</v>
      </c>
      <c r="B94" s="34" t="s">
        <v>277</v>
      </c>
      <c r="C94" s="21">
        <f t="shared" si="3"/>
        <v>105.3</v>
      </c>
      <c r="D94" s="33" t="s">
        <v>36</v>
      </c>
      <c r="E94" s="21">
        <v>3.9</v>
      </c>
      <c r="H94" s="10"/>
      <c r="I94" s="10"/>
      <c r="J94" s="11"/>
    </row>
    <row r="95" spans="1:10" ht="13.5" customHeight="1" x14ac:dyDescent="0.3">
      <c r="A95" s="24" t="s">
        <v>276</v>
      </c>
      <c r="B95" s="34" t="s">
        <v>275</v>
      </c>
      <c r="C95" s="21">
        <f t="shared" si="3"/>
        <v>113.4</v>
      </c>
      <c r="D95" s="33" t="s">
        <v>36</v>
      </c>
      <c r="E95" s="21">
        <v>4.2</v>
      </c>
      <c r="H95" s="10"/>
      <c r="I95" s="10"/>
      <c r="J95" s="11"/>
    </row>
    <row r="96" spans="1:10" ht="13.5" customHeight="1" x14ac:dyDescent="0.3">
      <c r="A96" s="24" t="s">
        <v>274</v>
      </c>
      <c r="B96" s="34" t="s">
        <v>273</v>
      </c>
      <c r="C96" s="21">
        <f t="shared" si="3"/>
        <v>113.4</v>
      </c>
      <c r="D96" s="33" t="s">
        <v>36</v>
      </c>
      <c r="E96" s="21">
        <v>4.2</v>
      </c>
      <c r="H96" s="10"/>
      <c r="I96" s="10"/>
      <c r="J96" s="11"/>
    </row>
    <row r="97" spans="1:10" ht="13.5" customHeight="1" x14ac:dyDescent="0.3">
      <c r="A97" s="24" t="s">
        <v>272</v>
      </c>
      <c r="B97" s="34" t="s">
        <v>271</v>
      </c>
      <c r="C97" s="21">
        <f t="shared" si="3"/>
        <v>116.1</v>
      </c>
      <c r="D97" s="33" t="s">
        <v>36</v>
      </c>
      <c r="E97" s="21">
        <v>4.3</v>
      </c>
      <c r="H97" s="10"/>
      <c r="I97" s="10"/>
      <c r="J97" s="11"/>
    </row>
    <row r="98" spans="1:10" ht="13.5" customHeight="1" x14ac:dyDescent="0.3">
      <c r="A98" s="24" t="s">
        <v>270</v>
      </c>
      <c r="B98" s="34" t="s">
        <v>269</v>
      </c>
      <c r="C98" s="21">
        <f t="shared" si="3"/>
        <v>29.700000000000003</v>
      </c>
      <c r="D98" s="33" t="s">
        <v>36</v>
      </c>
      <c r="E98" s="21">
        <v>1.1000000000000001</v>
      </c>
      <c r="H98" s="10"/>
      <c r="I98" s="10"/>
      <c r="J98" s="11"/>
    </row>
    <row r="99" spans="1:10" ht="13.5" customHeight="1" x14ac:dyDescent="0.3">
      <c r="A99" s="24" t="s">
        <v>268</v>
      </c>
      <c r="B99" s="34" t="s">
        <v>267</v>
      </c>
      <c r="C99" s="21">
        <f t="shared" si="3"/>
        <v>35.1</v>
      </c>
      <c r="D99" s="33" t="s">
        <v>36</v>
      </c>
      <c r="E99" s="21">
        <v>1.3</v>
      </c>
      <c r="H99" s="10"/>
      <c r="I99" s="10"/>
      <c r="J99" s="11"/>
    </row>
    <row r="100" spans="1:10" ht="13.5" customHeight="1" x14ac:dyDescent="0.3">
      <c r="A100" s="24" t="s">
        <v>266</v>
      </c>
      <c r="B100" s="34" t="s">
        <v>265</v>
      </c>
      <c r="C100" s="21">
        <f t="shared" si="3"/>
        <v>40.5</v>
      </c>
      <c r="D100" s="33" t="s">
        <v>36</v>
      </c>
      <c r="E100" s="21">
        <v>1.5</v>
      </c>
      <c r="H100" s="10"/>
      <c r="I100" s="10"/>
      <c r="J100" s="11"/>
    </row>
    <row r="101" spans="1:10" ht="13.5" customHeight="1" x14ac:dyDescent="0.3">
      <c r="A101" s="24" t="s">
        <v>264</v>
      </c>
      <c r="B101" s="34" t="s">
        <v>263</v>
      </c>
      <c r="C101" s="21">
        <f t="shared" si="3"/>
        <v>43.2</v>
      </c>
      <c r="D101" s="33" t="s">
        <v>36</v>
      </c>
      <c r="E101" s="21">
        <v>1.6</v>
      </c>
      <c r="H101" s="10"/>
      <c r="I101" s="10"/>
      <c r="J101" s="11"/>
    </row>
    <row r="102" spans="1:10" ht="13.5" customHeight="1" x14ac:dyDescent="0.3">
      <c r="A102" s="24" t="s">
        <v>262</v>
      </c>
      <c r="B102" s="34" t="s">
        <v>261</v>
      </c>
      <c r="C102" s="21">
        <f t="shared" si="3"/>
        <v>297</v>
      </c>
      <c r="D102" s="33" t="s">
        <v>36</v>
      </c>
      <c r="E102" s="21">
        <v>11</v>
      </c>
      <c r="H102" s="10"/>
      <c r="I102" s="10"/>
      <c r="J102" s="11"/>
    </row>
    <row r="103" spans="1:10" ht="13.5" customHeight="1" x14ac:dyDescent="0.3">
      <c r="A103" s="24" t="s">
        <v>260</v>
      </c>
      <c r="B103" s="34" t="s">
        <v>259</v>
      </c>
      <c r="C103" s="21">
        <f t="shared" si="3"/>
        <v>326.7</v>
      </c>
      <c r="D103" s="33" t="s">
        <v>36</v>
      </c>
      <c r="E103" s="21">
        <v>12.1</v>
      </c>
      <c r="H103" s="10"/>
      <c r="I103" s="10"/>
      <c r="J103" s="11"/>
    </row>
    <row r="104" spans="1:10" ht="13.5" customHeight="1" x14ac:dyDescent="0.3">
      <c r="A104" s="24" t="s">
        <v>258</v>
      </c>
      <c r="B104" s="34" t="s">
        <v>257</v>
      </c>
      <c r="C104" s="21">
        <f t="shared" si="3"/>
        <v>407.7</v>
      </c>
      <c r="D104" s="33" t="s">
        <v>36</v>
      </c>
      <c r="E104" s="21">
        <v>15.1</v>
      </c>
      <c r="H104" s="10"/>
      <c r="I104" s="10"/>
      <c r="J104" s="11"/>
    </row>
    <row r="105" spans="1:10" ht="13.5" customHeight="1" x14ac:dyDescent="0.3">
      <c r="A105" s="24" t="s">
        <v>256</v>
      </c>
      <c r="B105" s="34" t="s">
        <v>255</v>
      </c>
      <c r="C105" s="21">
        <f t="shared" si="3"/>
        <v>499.5</v>
      </c>
      <c r="D105" s="33" t="s">
        <v>36</v>
      </c>
      <c r="E105" s="21">
        <v>18.5</v>
      </c>
      <c r="H105" s="10"/>
      <c r="I105" s="10"/>
      <c r="J105" s="11"/>
    </row>
    <row r="106" spans="1:10" ht="13.5" customHeight="1" x14ac:dyDescent="0.3">
      <c r="A106" s="24" t="s">
        <v>254</v>
      </c>
      <c r="B106" s="34" t="s">
        <v>253</v>
      </c>
      <c r="C106" s="21">
        <f t="shared" si="3"/>
        <v>218.7</v>
      </c>
      <c r="D106" s="33" t="s">
        <v>50</v>
      </c>
      <c r="E106" s="21">
        <v>8.1</v>
      </c>
      <c r="H106" s="10"/>
      <c r="I106" s="10"/>
      <c r="J106" s="11"/>
    </row>
    <row r="107" spans="1:10" ht="13.5" customHeight="1" x14ac:dyDescent="0.3">
      <c r="A107" s="24" t="s">
        <v>252</v>
      </c>
      <c r="B107" s="34" t="s">
        <v>251</v>
      </c>
      <c r="C107" s="21">
        <f t="shared" si="3"/>
        <v>340.2</v>
      </c>
      <c r="D107" s="33" t="s">
        <v>50</v>
      </c>
      <c r="E107" s="21">
        <v>12.6</v>
      </c>
      <c r="H107" s="10"/>
      <c r="I107" s="10"/>
      <c r="J107" s="11"/>
    </row>
    <row r="108" spans="1:10" ht="13.5" customHeight="1" x14ac:dyDescent="0.3">
      <c r="A108" s="24" t="s">
        <v>250</v>
      </c>
      <c r="B108" s="34" t="s">
        <v>249</v>
      </c>
      <c r="C108" s="21">
        <f t="shared" si="3"/>
        <v>693.9</v>
      </c>
      <c r="D108" s="33" t="s">
        <v>36</v>
      </c>
      <c r="E108" s="21">
        <v>25.7</v>
      </c>
      <c r="H108" s="10"/>
      <c r="I108" s="10"/>
      <c r="J108" s="11"/>
    </row>
    <row r="109" spans="1:10" ht="13.5" customHeight="1" x14ac:dyDescent="0.3">
      <c r="A109" s="24" t="s">
        <v>248</v>
      </c>
      <c r="B109" s="34" t="s">
        <v>247</v>
      </c>
      <c r="C109" s="21">
        <f t="shared" si="3"/>
        <v>456.29999999999995</v>
      </c>
      <c r="D109" s="33" t="s">
        <v>50</v>
      </c>
      <c r="E109" s="21">
        <v>16.899999999999999</v>
      </c>
      <c r="H109" s="10"/>
      <c r="I109" s="10"/>
      <c r="J109" s="11"/>
    </row>
    <row r="110" spans="1:10" ht="13.5" customHeight="1" x14ac:dyDescent="0.3">
      <c r="A110" s="24" t="s">
        <v>246</v>
      </c>
      <c r="B110" s="34" t="s">
        <v>245</v>
      </c>
      <c r="C110" s="21">
        <f t="shared" si="3"/>
        <v>537.29999999999995</v>
      </c>
      <c r="D110" s="33" t="s">
        <v>50</v>
      </c>
      <c r="E110" s="21">
        <v>19.899999999999999</v>
      </c>
      <c r="H110" s="10"/>
      <c r="I110" s="10"/>
      <c r="J110" s="11"/>
    </row>
    <row r="111" spans="1:10" ht="13.5" customHeight="1" x14ac:dyDescent="0.3">
      <c r="A111" s="24" t="s">
        <v>244</v>
      </c>
      <c r="B111" s="34" t="s">
        <v>243</v>
      </c>
      <c r="C111" s="21">
        <f t="shared" si="3"/>
        <v>86.4</v>
      </c>
      <c r="D111" s="33" t="s">
        <v>50</v>
      </c>
      <c r="E111" s="21">
        <v>3.2</v>
      </c>
      <c r="H111" s="10"/>
      <c r="I111" s="10"/>
      <c r="J111" s="11"/>
    </row>
    <row r="112" spans="1:10" ht="13.5" customHeight="1" x14ac:dyDescent="0.3">
      <c r="A112" s="24" t="s">
        <v>242</v>
      </c>
      <c r="B112" s="34" t="s">
        <v>241</v>
      </c>
      <c r="C112" s="21">
        <f t="shared" si="3"/>
        <v>81</v>
      </c>
      <c r="D112" s="33" t="s">
        <v>50</v>
      </c>
      <c r="E112" s="21">
        <v>3</v>
      </c>
      <c r="H112" s="10"/>
      <c r="I112" s="10"/>
      <c r="J112" s="11"/>
    </row>
    <row r="113" spans="1:10" ht="13.5" customHeight="1" x14ac:dyDescent="0.3">
      <c r="A113" s="24" t="s">
        <v>240</v>
      </c>
      <c r="B113" s="34" t="s">
        <v>239</v>
      </c>
      <c r="C113" s="21">
        <f t="shared" si="3"/>
        <v>140.4</v>
      </c>
      <c r="D113" s="33" t="s">
        <v>50</v>
      </c>
      <c r="E113" s="21">
        <v>5.2</v>
      </c>
      <c r="H113" s="10"/>
      <c r="I113" s="10"/>
      <c r="J113" s="11"/>
    </row>
    <row r="114" spans="1:10" ht="13.5" customHeight="1" thickBot="1" x14ac:dyDescent="0.35">
      <c r="A114" s="39" t="s">
        <v>238</v>
      </c>
      <c r="B114" s="38" t="s">
        <v>237</v>
      </c>
      <c r="C114" s="21">
        <f t="shared" si="3"/>
        <v>140.4</v>
      </c>
      <c r="D114" s="33" t="s">
        <v>50</v>
      </c>
      <c r="E114" s="37">
        <v>5.2</v>
      </c>
      <c r="H114" s="10"/>
      <c r="I114" s="10"/>
      <c r="J114" s="11"/>
    </row>
    <row r="115" spans="1:10" ht="15" customHeight="1" thickBot="1" x14ac:dyDescent="0.35">
      <c r="A115" s="189" t="s">
        <v>35</v>
      </c>
      <c r="B115" s="189"/>
      <c r="C115" s="189"/>
      <c r="D115" s="189"/>
      <c r="E115" s="189"/>
      <c r="H115" s="10"/>
      <c r="I115" s="10"/>
      <c r="J115" s="11"/>
    </row>
    <row r="116" spans="1:10" ht="16.5" customHeight="1" thickBot="1" x14ac:dyDescent="0.35">
      <c r="A116" s="36" t="s">
        <v>125</v>
      </c>
      <c r="B116" s="35" t="s">
        <v>124</v>
      </c>
      <c r="C116" s="28" t="s">
        <v>123</v>
      </c>
      <c r="D116" s="29" t="s">
        <v>122</v>
      </c>
      <c r="E116" s="28" t="s">
        <v>121</v>
      </c>
      <c r="H116" s="10"/>
      <c r="I116" s="10"/>
      <c r="J116" s="11"/>
    </row>
    <row r="117" spans="1:10" ht="16.5" customHeight="1" x14ac:dyDescent="0.3">
      <c r="A117" s="24" t="s">
        <v>236</v>
      </c>
      <c r="B117" s="34" t="s">
        <v>235</v>
      </c>
      <c r="C117" s="21">
        <f t="shared" ref="C117:C148" si="4">E117*27</f>
        <v>56.7</v>
      </c>
      <c r="D117" s="33" t="s">
        <v>50</v>
      </c>
      <c r="E117" s="21">
        <v>2.1</v>
      </c>
      <c r="H117" s="10"/>
      <c r="I117" s="10"/>
      <c r="J117" s="11"/>
    </row>
    <row r="118" spans="1:10" ht="16.5" customHeight="1" x14ac:dyDescent="0.3">
      <c r="A118" s="24" t="s">
        <v>234</v>
      </c>
      <c r="B118" s="34" t="s">
        <v>233</v>
      </c>
      <c r="C118" s="21">
        <f t="shared" si="4"/>
        <v>221.39999999999998</v>
      </c>
      <c r="D118" s="33" t="s">
        <v>50</v>
      </c>
      <c r="E118" s="21">
        <v>8.1999999999999993</v>
      </c>
      <c r="H118" s="10"/>
      <c r="I118" s="10"/>
      <c r="J118" s="11"/>
    </row>
    <row r="119" spans="1:10" ht="13.5" customHeight="1" x14ac:dyDescent="0.3">
      <c r="A119" s="24" t="s">
        <v>232</v>
      </c>
      <c r="B119" s="23" t="s">
        <v>231</v>
      </c>
      <c r="C119" s="21">
        <f t="shared" si="4"/>
        <v>332.1</v>
      </c>
      <c r="D119" s="22" t="s">
        <v>50</v>
      </c>
      <c r="E119" s="21">
        <v>12.3</v>
      </c>
      <c r="H119" s="10"/>
      <c r="I119" s="10"/>
      <c r="J119" s="11"/>
    </row>
    <row r="120" spans="1:10" ht="13.5" customHeight="1" x14ac:dyDescent="0.3">
      <c r="A120" s="24" t="s">
        <v>230</v>
      </c>
      <c r="B120" s="23" t="s">
        <v>229</v>
      </c>
      <c r="C120" s="21">
        <f t="shared" si="4"/>
        <v>64.8</v>
      </c>
      <c r="D120" s="22" t="s">
        <v>50</v>
      </c>
      <c r="E120" s="21">
        <v>2.4</v>
      </c>
      <c r="H120" s="10"/>
      <c r="I120" s="10"/>
      <c r="J120" s="11"/>
    </row>
    <row r="121" spans="1:10" ht="13.5" customHeight="1" x14ac:dyDescent="0.3">
      <c r="A121" s="24" t="s">
        <v>228</v>
      </c>
      <c r="B121" s="23" t="s">
        <v>227</v>
      </c>
      <c r="C121" s="21">
        <f t="shared" si="4"/>
        <v>97.2</v>
      </c>
      <c r="D121" s="22" t="s">
        <v>50</v>
      </c>
      <c r="E121" s="21">
        <v>3.6</v>
      </c>
      <c r="H121" s="10"/>
      <c r="I121" s="10"/>
      <c r="J121" s="11"/>
    </row>
    <row r="122" spans="1:10" ht="13.5" customHeight="1" x14ac:dyDescent="0.3">
      <c r="A122" s="24" t="s">
        <v>226</v>
      </c>
      <c r="B122" s="23" t="s">
        <v>225</v>
      </c>
      <c r="C122" s="21">
        <f t="shared" si="4"/>
        <v>361.8</v>
      </c>
      <c r="D122" s="22" t="s">
        <v>50</v>
      </c>
      <c r="E122" s="21">
        <v>13.4</v>
      </c>
      <c r="H122" s="10"/>
      <c r="I122" s="10"/>
      <c r="J122" s="11"/>
    </row>
    <row r="123" spans="1:10" ht="13.5" customHeight="1" x14ac:dyDescent="0.3">
      <c r="A123" s="24" t="s">
        <v>224</v>
      </c>
      <c r="B123" s="23" t="s">
        <v>223</v>
      </c>
      <c r="C123" s="21">
        <f t="shared" si="4"/>
        <v>415.8</v>
      </c>
      <c r="D123" s="22" t="s">
        <v>50</v>
      </c>
      <c r="E123" s="21">
        <v>15.4</v>
      </c>
      <c r="H123" s="10"/>
      <c r="I123" s="10"/>
      <c r="J123" s="11"/>
    </row>
    <row r="124" spans="1:10" ht="13.5" customHeight="1" x14ac:dyDescent="0.3">
      <c r="A124" s="24" t="s">
        <v>222</v>
      </c>
      <c r="B124" s="23" t="s">
        <v>221</v>
      </c>
      <c r="C124" s="21">
        <f t="shared" si="4"/>
        <v>221.39999999999998</v>
      </c>
      <c r="D124" s="22" t="s">
        <v>50</v>
      </c>
      <c r="E124" s="21">
        <v>8.1999999999999993</v>
      </c>
      <c r="H124" s="10"/>
      <c r="I124" s="10"/>
      <c r="J124" s="11"/>
    </row>
    <row r="125" spans="1:10" ht="13.5" customHeight="1" x14ac:dyDescent="0.3">
      <c r="A125" s="24" t="s">
        <v>220</v>
      </c>
      <c r="B125" s="23" t="s">
        <v>219</v>
      </c>
      <c r="C125" s="21">
        <f t="shared" si="4"/>
        <v>251.10000000000002</v>
      </c>
      <c r="D125" s="22" t="s">
        <v>50</v>
      </c>
      <c r="E125" s="21">
        <v>9.3000000000000007</v>
      </c>
      <c r="H125" s="10"/>
      <c r="I125" s="10"/>
      <c r="J125" s="11"/>
    </row>
    <row r="126" spans="1:10" ht="13.5" customHeight="1" x14ac:dyDescent="0.3">
      <c r="A126" s="24" t="s">
        <v>217</v>
      </c>
      <c r="B126" s="23" t="s">
        <v>218</v>
      </c>
      <c r="C126" s="21">
        <f t="shared" si="4"/>
        <v>305.10000000000002</v>
      </c>
      <c r="D126" s="22" t="s">
        <v>50</v>
      </c>
      <c r="E126" s="21">
        <v>11.3</v>
      </c>
      <c r="H126" s="10"/>
      <c r="I126" s="10"/>
      <c r="J126" s="11"/>
    </row>
    <row r="127" spans="1:10" ht="13.5" customHeight="1" x14ac:dyDescent="0.3">
      <c r="A127" s="24" t="s">
        <v>217</v>
      </c>
      <c r="B127" s="23" t="s">
        <v>216</v>
      </c>
      <c r="C127" s="21">
        <f t="shared" si="4"/>
        <v>367.2</v>
      </c>
      <c r="D127" s="22" t="s">
        <v>50</v>
      </c>
      <c r="E127" s="21">
        <v>13.6</v>
      </c>
      <c r="H127" s="10"/>
      <c r="I127" s="10"/>
      <c r="J127" s="11"/>
    </row>
    <row r="128" spans="1:10" ht="13.5" customHeight="1" x14ac:dyDescent="0.3">
      <c r="A128" s="24" t="s">
        <v>215</v>
      </c>
      <c r="B128" s="32" t="s">
        <v>214</v>
      </c>
      <c r="C128" s="21">
        <f t="shared" si="4"/>
        <v>253.8</v>
      </c>
      <c r="D128" s="22" t="s">
        <v>50</v>
      </c>
      <c r="E128" s="27">
        <v>9.4</v>
      </c>
      <c r="H128" s="10"/>
      <c r="I128" s="10"/>
      <c r="J128" s="11"/>
    </row>
    <row r="129" spans="1:10" ht="13.5" customHeight="1" x14ac:dyDescent="0.3">
      <c r="A129" s="24" t="s">
        <v>213</v>
      </c>
      <c r="B129" s="23" t="s">
        <v>212</v>
      </c>
      <c r="C129" s="21">
        <f t="shared" si="4"/>
        <v>472.5</v>
      </c>
      <c r="D129" s="22" t="s">
        <v>50</v>
      </c>
      <c r="E129" s="21">
        <v>17.5</v>
      </c>
      <c r="H129" s="10"/>
      <c r="I129" s="10"/>
      <c r="J129" s="11"/>
    </row>
    <row r="130" spans="1:10" ht="13.5" customHeight="1" x14ac:dyDescent="0.3">
      <c r="A130" s="24" t="s">
        <v>211</v>
      </c>
      <c r="B130" s="23" t="s">
        <v>210</v>
      </c>
      <c r="C130" s="21">
        <f t="shared" si="4"/>
        <v>199.8</v>
      </c>
      <c r="D130" s="22" t="s">
        <v>36</v>
      </c>
      <c r="E130" s="21">
        <v>7.4</v>
      </c>
      <c r="G130" s="8">
        <f>2.61*80</f>
        <v>208.79999999999998</v>
      </c>
      <c r="H130" s="10"/>
      <c r="I130" s="10"/>
      <c r="J130" s="11"/>
    </row>
    <row r="131" spans="1:10" ht="13.5" customHeight="1" x14ac:dyDescent="0.3">
      <c r="A131" s="24" t="s">
        <v>209</v>
      </c>
      <c r="B131" s="23" t="s">
        <v>208</v>
      </c>
      <c r="C131" s="21">
        <f t="shared" si="4"/>
        <v>159.30000000000001</v>
      </c>
      <c r="D131" s="22" t="s">
        <v>50</v>
      </c>
      <c r="E131" s="21">
        <v>5.9</v>
      </c>
      <c r="H131" s="10"/>
      <c r="I131" s="10"/>
      <c r="J131" s="11"/>
    </row>
    <row r="132" spans="1:10" ht="13.5" customHeight="1" x14ac:dyDescent="0.3">
      <c r="A132" s="24" t="s">
        <v>207</v>
      </c>
      <c r="B132" s="23" t="s">
        <v>206</v>
      </c>
      <c r="C132" s="21">
        <f t="shared" si="4"/>
        <v>186.3</v>
      </c>
      <c r="D132" s="22" t="s">
        <v>50</v>
      </c>
      <c r="E132" s="21">
        <v>6.9</v>
      </c>
      <c r="H132" s="10"/>
      <c r="I132" s="10"/>
      <c r="J132" s="11"/>
    </row>
    <row r="133" spans="1:10" ht="13.5" customHeight="1" x14ac:dyDescent="0.3">
      <c r="A133" s="24" t="s">
        <v>205</v>
      </c>
      <c r="B133" s="23" t="s">
        <v>204</v>
      </c>
      <c r="C133" s="21">
        <f t="shared" si="4"/>
        <v>432</v>
      </c>
      <c r="D133" s="22" t="s">
        <v>50</v>
      </c>
      <c r="E133" s="21">
        <v>16</v>
      </c>
      <c r="H133" s="10"/>
      <c r="I133" s="10"/>
      <c r="J133" s="11"/>
    </row>
    <row r="134" spans="1:10" ht="13.5" customHeight="1" x14ac:dyDescent="0.3">
      <c r="A134" s="24" t="s">
        <v>203</v>
      </c>
      <c r="B134" s="23" t="s">
        <v>202</v>
      </c>
      <c r="C134" s="21">
        <f t="shared" si="4"/>
        <v>891</v>
      </c>
      <c r="D134" s="22" t="s">
        <v>50</v>
      </c>
      <c r="E134" s="21">
        <v>33</v>
      </c>
      <c r="H134" s="10"/>
      <c r="I134" s="10"/>
      <c r="J134" s="11"/>
    </row>
    <row r="135" spans="1:10" ht="13.5" customHeight="1" x14ac:dyDescent="0.3">
      <c r="A135" s="24" t="s">
        <v>201</v>
      </c>
      <c r="B135" s="23" t="s">
        <v>200</v>
      </c>
      <c r="C135" s="21">
        <f t="shared" si="4"/>
        <v>62.099999999999994</v>
      </c>
      <c r="D135" s="22" t="s">
        <v>36</v>
      </c>
      <c r="E135" s="21">
        <v>2.2999999999999998</v>
      </c>
      <c r="H135" s="10"/>
      <c r="I135" s="10"/>
      <c r="J135" s="11"/>
    </row>
    <row r="136" spans="1:10" ht="13.5" customHeight="1" x14ac:dyDescent="0.3">
      <c r="A136" s="24" t="s">
        <v>199</v>
      </c>
      <c r="B136" s="23" t="s">
        <v>198</v>
      </c>
      <c r="C136" s="21">
        <f t="shared" si="4"/>
        <v>51.3</v>
      </c>
      <c r="D136" s="22" t="s">
        <v>50</v>
      </c>
      <c r="E136" s="21">
        <v>1.9</v>
      </c>
      <c r="H136" s="10"/>
      <c r="I136" s="10"/>
      <c r="J136" s="11"/>
    </row>
    <row r="137" spans="1:10" ht="13.5" customHeight="1" x14ac:dyDescent="0.3">
      <c r="A137" s="24" t="s">
        <v>197</v>
      </c>
      <c r="B137" s="23" t="s">
        <v>196</v>
      </c>
      <c r="C137" s="21">
        <f t="shared" si="4"/>
        <v>583.20000000000005</v>
      </c>
      <c r="D137" s="22" t="s">
        <v>50</v>
      </c>
      <c r="E137" s="21">
        <v>21.6</v>
      </c>
      <c r="H137" s="10"/>
      <c r="I137" s="10"/>
      <c r="J137" s="11"/>
    </row>
    <row r="138" spans="1:10" ht="13.5" customHeight="1" x14ac:dyDescent="0.3">
      <c r="A138" s="24" t="s">
        <v>195</v>
      </c>
      <c r="B138" s="23" t="s">
        <v>194</v>
      </c>
      <c r="C138" s="21">
        <f t="shared" si="4"/>
        <v>550.79999999999995</v>
      </c>
      <c r="D138" s="22" t="s">
        <v>50</v>
      </c>
      <c r="E138" s="21">
        <v>20.399999999999999</v>
      </c>
      <c r="H138" s="10"/>
      <c r="I138" s="10"/>
      <c r="J138" s="11"/>
    </row>
    <row r="139" spans="1:10" ht="13.5" customHeight="1" x14ac:dyDescent="0.3">
      <c r="A139" s="24" t="s">
        <v>193</v>
      </c>
      <c r="B139" s="23" t="s">
        <v>192</v>
      </c>
      <c r="C139" s="21">
        <f t="shared" si="4"/>
        <v>550.79999999999995</v>
      </c>
      <c r="D139" s="22" t="s">
        <v>50</v>
      </c>
      <c r="E139" s="21">
        <v>20.399999999999999</v>
      </c>
      <c r="H139" s="10"/>
      <c r="I139" s="10"/>
      <c r="J139" s="11"/>
    </row>
    <row r="140" spans="1:10" ht="13.5" customHeight="1" x14ac:dyDescent="0.3">
      <c r="A140" s="24" t="s">
        <v>191</v>
      </c>
      <c r="B140" s="23" t="s">
        <v>190</v>
      </c>
      <c r="C140" s="21">
        <f t="shared" si="4"/>
        <v>550.79999999999995</v>
      </c>
      <c r="D140" s="22" t="s">
        <v>50</v>
      </c>
      <c r="E140" s="21">
        <v>20.399999999999999</v>
      </c>
      <c r="H140" s="10"/>
      <c r="I140" s="10"/>
      <c r="J140" s="11"/>
    </row>
    <row r="141" spans="1:10" ht="13.5" customHeight="1" x14ac:dyDescent="0.3">
      <c r="A141" s="24" t="s">
        <v>189</v>
      </c>
      <c r="B141" s="23" t="s">
        <v>188</v>
      </c>
      <c r="C141" s="21">
        <f t="shared" si="4"/>
        <v>2592</v>
      </c>
      <c r="D141" s="22" t="s">
        <v>50</v>
      </c>
      <c r="E141" s="21">
        <v>96</v>
      </c>
      <c r="H141" s="10"/>
      <c r="I141" s="10"/>
      <c r="J141" s="11"/>
    </row>
    <row r="142" spans="1:10" ht="13.5" customHeight="1" x14ac:dyDescent="0.3">
      <c r="A142" s="24" t="s">
        <v>187</v>
      </c>
      <c r="B142" s="23" t="s">
        <v>186</v>
      </c>
      <c r="C142" s="21">
        <f t="shared" si="4"/>
        <v>113.4</v>
      </c>
      <c r="D142" s="22" t="s">
        <v>36</v>
      </c>
      <c r="E142" s="21">
        <v>4.2</v>
      </c>
      <c r="H142" s="10"/>
      <c r="I142" s="10"/>
      <c r="J142" s="11"/>
    </row>
    <row r="143" spans="1:10" x14ac:dyDescent="0.3">
      <c r="A143" s="24" t="s">
        <v>185</v>
      </c>
      <c r="B143" s="23" t="s">
        <v>184</v>
      </c>
      <c r="C143" s="21">
        <f t="shared" si="4"/>
        <v>202.5</v>
      </c>
      <c r="D143" s="22" t="s">
        <v>36</v>
      </c>
      <c r="E143" s="21">
        <v>7.5</v>
      </c>
      <c r="H143" s="10"/>
      <c r="I143" s="10"/>
      <c r="J143" s="11"/>
    </row>
    <row r="144" spans="1:10" ht="13.5" customHeight="1" x14ac:dyDescent="0.3">
      <c r="A144" s="24" t="s">
        <v>183</v>
      </c>
      <c r="B144" s="23" t="s">
        <v>182</v>
      </c>
      <c r="C144" s="21">
        <f t="shared" si="4"/>
        <v>81</v>
      </c>
      <c r="D144" s="22" t="s">
        <v>36</v>
      </c>
      <c r="E144" s="21">
        <v>3</v>
      </c>
      <c r="H144" s="10"/>
      <c r="I144" s="10"/>
      <c r="J144" s="11"/>
    </row>
    <row r="145" spans="1:10" ht="13.5" customHeight="1" x14ac:dyDescent="0.3">
      <c r="A145" s="24" t="s">
        <v>181</v>
      </c>
      <c r="B145" s="23" t="s">
        <v>180</v>
      </c>
      <c r="C145" s="21">
        <f t="shared" si="4"/>
        <v>62.099999999999994</v>
      </c>
      <c r="D145" s="22" t="s">
        <v>50</v>
      </c>
      <c r="E145" s="21">
        <v>2.2999999999999998</v>
      </c>
      <c r="H145" s="10"/>
      <c r="I145" s="10"/>
      <c r="J145" s="11"/>
    </row>
    <row r="146" spans="1:10" ht="13.5" customHeight="1" x14ac:dyDescent="0.3">
      <c r="A146" s="24" t="s">
        <v>179</v>
      </c>
      <c r="B146" s="23" t="s">
        <v>178</v>
      </c>
      <c r="C146" s="21">
        <f t="shared" si="4"/>
        <v>94.5</v>
      </c>
      <c r="D146" s="22" t="s">
        <v>36</v>
      </c>
      <c r="E146" s="21">
        <v>3.5</v>
      </c>
      <c r="H146" s="10"/>
      <c r="I146" s="10"/>
      <c r="J146" s="11"/>
    </row>
    <row r="147" spans="1:10" ht="13.5" customHeight="1" x14ac:dyDescent="0.3">
      <c r="A147" s="24" t="s">
        <v>177</v>
      </c>
      <c r="B147" s="23" t="s">
        <v>176</v>
      </c>
      <c r="C147" s="21">
        <f t="shared" si="4"/>
        <v>170.1</v>
      </c>
      <c r="D147" s="22" t="s">
        <v>50</v>
      </c>
      <c r="E147" s="21">
        <v>6.3</v>
      </c>
      <c r="H147" s="10"/>
      <c r="I147" s="10"/>
      <c r="J147" s="11"/>
    </row>
    <row r="148" spans="1:10" ht="13.5" customHeight="1" x14ac:dyDescent="0.3">
      <c r="A148" s="24" t="s">
        <v>175</v>
      </c>
      <c r="B148" s="23" t="s">
        <v>174</v>
      </c>
      <c r="C148" s="21">
        <f t="shared" si="4"/>
        <v>59.400000000000006</v>
      </c>
      <c r="D148" s="22" t="s">
        <v>36</v>
      </c>
      <c r="E148" s="21">
        <v>2.2000000000000002</v>
      </c>
      <c r="H148" s="10"/>
      <c r="I148" s="10"/>
      <c r="J148" s="11"/>
    </row>
    <row r="149" spans="1:10" ht="13.5" customHeight="1" x14ac:dyDescent="0.3">
      <c r="A149" s="24" t="s">
        <v>173</v>
      </c>
      <c r="B149" s="23" t="s">
        <v>172</v>
      </c>
      <c r="C149" s="21">
        <f t="shared" ref="C149:C172" si="5">E149*27</f>
        <v>116.1</v>
      </c>
      <c r="D149" s="22" t="s">
        <v>36</v>
      </c>
      <c r="E149" s="21">
        <v>4.3</v>
      </c>
      <c r="H149" s="10"/>
      <c r="I149" s="10"/>
      <c r="J149" s="11"/>
    </row>
    <row r="150" spans="1:10" ht="13.5" customHeight="1" x14ac:dyDescent="0.3">
      <c r="A150" s="24" t="s">
        <v>171</v>
      </c>
      <c r="B150" s="23" t="s">
        <v>170</v>
      </c>
      <c r="C150" s="21">
        <f t="shared" si="5"/>
        <v>32.4</v>
      </c>
      <c r="D150" s="22" t="s">
        <v>36</v>
      </c>
      <c r="E150" s="21">
        <v>1.2</v>
      </c>
      <c r="H150" s="10"/>
      <c r="I150" s="10"/>
      <c r="J150" s="11"/>
    </row>
    <row r="151" spans="1:10" ht="13.5" customHeight="1" x14ac:dyDescent="0.3">
      <c r="A151" s="24" t="s">
        <v>169</v>
      </c>
      <c r="B151" s="23" t="s">
        <v>168</v>
      </c>
      <c r="C151" s="21">
        <f t="shared" si="5"/>
        <v>178.2</v>
      </c>
      <c r="D151" s="22" t="s">
        <v>50</v>
      </c>
      <c r="E151" s="21">
        <v>6.6</v>
      </c>
      <c r="H151" s="10"/>
      <c r="I151" s="10"/>
      <c r="J151" s="11"/>
    </row>
    <row r="152" spans="1:10" ht="13.5" customHeight="1" x14ac:dyDescent="0.3">
      <c r="A152" s="24" t="s">
        <v>167</v>
      </c>
      <c r="B152" s="23" t="s">
        <v>166</v>
      </c>
      <c r="C152" s="21">
        <f t="shared" si="5"/>
        <v>113.4</v>
      </c>
      <c r="D152" s="22" t="s">
        <v>36</v>
      </c>
      <c r="E152" s="21">
        <v>4.2</v>
      </c>
      <c r="H152" s="10"/>
      <c r="I152" s="10"/>
      <c r="J152" s="11"/>
    </row>
    <row r="153" spans="1:10" ht="13.5" customHeight="1" x14ac:dyDescent="0.3">
      <c r="A153" s="24" t="s">
        <v>165</v>
      </c>
      <c r="B153" s="23" t="s">
        <v>164</v>
      </c>
      <c r="C153" s="21">
        <f t="shared" si="5"/>
        <v>64.8</v>
      </c>
      <c r="D153" s="22" t="s">
        <v>50</v>
      </c>
      <c r="E153" s="21">
        <v>2.4</v>
      </c>
      <c r="H153" s="10"/>
      <c r="I153" s="10"/>
      <c r="J153" s="11"/>
    </row>
    <row r="154" spans="1:10" ht="13.5" customHeight="1" x14ac:dyDescent="0.3">
      <c r="A154" s="24" t="s">
        <v>163</v>
      </c>
      <c r="B154" s="23" t="s">
        <v>162</v>
      </c>
      <c r="C154" s="21">
        <f t="shared" si="5"/>
        <v>99.9</v>
      </c>
      <c r="D154" s="22" t="s">
        <v>36</v>
      </c>
      <c r="E154" s="21">
        <v>3.7</v>
      </c>
      <c r="H154" s="10"/>
      <c r="I154" s="10"/>
      <c r="J154" s="11"/>
    </row>
    <row r="155" spans="1:10" ht="13.5" customHeight="1" x14ac:dyDescent="0.3">
      <c r="A155" s="24" t="s">
        <v>161</v>
      </c>
      <c r="B155" s="23" t="s">
        <v>160</v>
      </c>
      <c r="C155" s="21">
        <f t="shared" si="5"/>
        <v>72.900000000000006</v>
      </c>
      <c r="D155" s="22" t="s">
        <v>50</v>
      </c>
      <c r="E155" s="21">
        <v>2.7</v>
      </c>
      <c r="H155" s="10"/>
      <c r="I155" s="10"/>
      <c r="J155" s="11"/>
    </row>
    <row r="156" spans="1:10" ht="13.5" customHeight="1" x14ac:dyDescent="0.3">
      <c r="A156" s="24" t="s">
        <v>159</v>
      </c>
      <c r="B156" s="23" t="s">
        <v>158</v>
      </c>
      <c r="C156" s="21">
        <f t="shared" si="5"/>
        <v>89.1</v>
      </c>
      <c r="D156" s="22" t="s">
        <v>36</v>
      </c>
      <c r="E156" s="21">
        <v>3.3</v>
      </c>
      <c r="H156" s="10"/>
      <c r="I156" s="10"/>
      <c r="J156" s="11"/>
    </row>
    <row r="157" spans="1:10" ht="13.5" customHeight="1" x14ac:dyDescent="0.3">
      <c r="A157" s="24" t="s">
        <v>157</v>
      </c>
      <c r="B157" s="23" t="s">
        <v>156</v>
      </c>
      <c r="C157" s="21">
        <f t="shared" si="5"/>
        <v>56.7</v>
      </c>
      <c r="D157" s="22" t="s">
        <v>50</v>
      </c>
      <c r="E157" s="21">
        <v>2.1</v>
      </c>
      <c r="H157" s="10"/>
      <c r="I157" s="10"/>
      <c r="J157" s="11"/>
    </row>
    <row r="158" spans="1:10" s="25" customFormat="1" ht="13.5" customHeight="1" x14ac:dyDescent="0.3">
      <c r="A158" s="24" t="s">
        <v>155</v>
      </c>
      <c r="B158" s="23" t="s">
        <v>154</v>
      </c>
      <c r="C158" s="21">
        <f t="shared" si="5"/>
        <v>162</v>
      </c>
      <c r="D158" s="22" t="s">
        <v>36</v>
      </c>
      <c r="E158" s="21">
        <v>6</v>
      </c>
      <c r="F158" s="26"/>
      <c r="G158" s="8"/>
      <c r="H158" s="10"/>
      <c r="I158" s="10"/>
      <c r="J158" s="11"/>
    </row>
    <row r="159" spans="1:10" s="25" customFormat="1" ht="13.5" customHeight="1" x14ac:dyDescent="0.3">
      <c r="A159" s="24" t="s">
        <v>153</v>
      </c>
      <c r="B159" s="23" t="s">
        <v>152</v>
      </c>
      <c r="C159" s="21">
        <f t="shared" si="5"/>
        <v>75.599999999999994</v>
      </c>
      <c r="D159" s="22" t="s">
        <v>50</v>
      </c>
      <c r="E159" s="21">
        <v>2.8</v>
      </c>
      <c r="F159" s="26"/>
      <c r="G159" s="8"/>
      <c r="H159" s="10"/>
      <c r="I159" s="10"/>
      <c r="J159" s="11"/>
    </row>
    <row r="160" spans="1:10" s="25" customFormat="1" ht="13.5" customHeight="1" x14ac:dyDescent="0.3">
      <c r="A160" s="24" t="s">
        <v>151</v>
      </c>
      <c r="B160" s="23" t="s">
        <v>150</v>
      </c>
      <c r="C160" s="21">
        <f t="shared" si="5"/>
        <v>162</v>
      </c>
      <c r="D160" s="22" t="s">
        <v>36</v>
      </c>
      <c r="E160" s="21">
        <v>6</v>
      </c>
      <c r="F160" s="26"/>
      <c r="G160" s="8"/>
      <c r="H160" s="10"/>
      <c r="I160" s="10"/>
      <c r="J160" s="11"/>
    </row>
    <row r="161" spans="1:10" s="25" customFormat="1" ht="13.5" customHeight="1" x14ac:dyDescent="0.3">
      <c r="A161" s="24" t="s">
        <v>149</v>
      </c>
      <c r="B161" s="23" t="s">
        <v>148</v>
      </c>
      <c r="C161" s="21">
        <f t="shared" si="5"/>
        <v>81</v>
      </c>
      <c r="D161" s="22" t="s">
        <v>50</v>
      </c>
      <c r="E161" s="21">
        <v>3</v>
      </c>
      <c r="F161" s="26"/>
      <c r="G161" s="8"/>
      <c r="H161" s="10"/>
      <c r="I161" s="10"/>
      <c r="J161" s="11"/>
    </row>
    <row r="162" spans="1:10" s="25" customFormat="1" ht="13.5" customHeight="1" x14ac:dyDescent="0.3">
      <c r="A162" s="24" t="s">
        <v>147</v>
      </c>
      <c r="B162" s="23" t="s">
        <v>146</v>
      </c>
      <c r="C162" s="21">
        <f t="shared" si="5"/>
        <v>164.7</v>
      </c>
      <c r="D162" s="22" t="s">
        <v>36</v>
      </c>
      <c r="E162" s="21">
        <v>6.1</v>
      </c>
      <c r="F162" s="26"/>
      <c r="G162" s="8"/>
      <c r="H162" s="10"/>
      <c r="I162" s="10"/>
      <c r="J162" s="11"/>
    </row>
    <row r="163" spans="1:10" x14ac:dyDescent="0.3">
      <c r="A163" s="24" t="s">
        <v>145</v>
      </c>
      <c r="B163" s="23" t="s">
        <v>144</v>
      </c>
      <c r="C163" s="21">
        <f t="shared" si="5"/>
        <v>72.900000000000006</v>
      </c>
      <c r="D163" s="22" t="s">
        <v>50</v>
      </c>
      <c r="E163" s="21">
        <v>2.7</v>
      </c>
      <c r="H163" s="10"/>
      <c r="I163" s="10"/>
      <c r="J163" s="11"/>
    </row>
    <row r="164" spans="1:10" ht="13.5" customHeight="1" x14ac:dyDescent="0.3">
      <c r="A164" s="24" t="s">
        <v>143</v>
      </c>
      <c r="B164" s="23" t="s">
        <v>142</v>
      </c>
      <c r="C164" s="21">
        <f t="shared" si="5"/>
        <v>178.2</v>
      </c>
      <c r="D164" s="22" t="s">
        <v>36</v>
      </c>
      <c r="E164" s="21">
        <v>6.6</v>
      </c>
      <c r="H164" s="10"/>
      <c r="I164" s="10"/>
      <c r="J164" s="11"/>
    </row>
    <row r="165" spans="1:10" s="25" customFormat="1" ht="13.5" customHeight="1" x14ac:dyDescent="0.3">
      <c r="A165" s="24" t="s">
        <v>141</v>
      </c>
      <c r="B165" s="23" t="s">
        <v>140</v>
      </c>
      <c r="C165" s="21">
        <f t="shared" si="5"/>
        <v>81</v>
      </c>
      <c r="D165" s="22" t="s">
        <v>50</v>
      </c>
      <c r="E165" s="21">
        <v>3</v>
      </c>
      <c r="F165" s="26"/>
      <c r="G165" s="8"/>
      <c r="H165" s="10"/>
      <c r="I165" s="10"/>
      <c r="J165" s="11"/>
    </row>
    <row r="166" spans="1:10" ht="13.5" customHeight="1" x14ac:dyDescent="0.3">
      <c r="A166" s="24" t="s">
        <v>139</v>
      </c>
      <c r="B166" s="23" t="s">
        <v>138</v>
      </c>
      <c r="C166" s="21">
        <f t="shared" si="5"/>
        <v>243</v>
      </c>
      <c r="D166" s="22" t="s">
        <v>36</v>
      </c>
      <c r="E166" s="21">
        <v>9</v>
      </c>
      <c r="H166" s="10"/>
      <c r="I166" s="10"/>
      <c r="J166" s="11"/>
    </row>
    <row r="167" spans="1:10" x14ac:dyDescent="0.3">
      <c r="A167" s="24" t="s">
        <v>137</v>
      </c>
      <c r="B167" s="23" t="s">
        <v>136</v>
      </c>
      <c r="C167" s="21">
        <f t="shared" si="5"/>
        <v>81</v>
      </c>
      <c r="D167" s="22" t="s">
        <v>50</v>
      </c>
      <c r="E167" s="21">
        <v>3</v>
      </c>
      <c r="H167" s="10"/>
      <c r="I167" s="10"/>
      <c r="J167" s="11"/>
    </row>
    <row r="168" spans="1:10" ht="13.5" customHeight="1" x14ac:dyDescent="0.3">
      <c r="A168" s="24" t="s">
        <v>135</v>
      </c>
      <c r="B168" s="23" t="s">
        <v>134</v>
      </c>
      <c r="C168" s="21">
        <f t="shared" si="5"/>
        <v>232.2</v>
      </c>
      <c r="D168" s="22" t="s">
        <v>36</v>
      </c>
      <c r="E168" s="21">
        <v>8.6</v>
      </c>
      <c r="H168" s="10"/>
      <c r="I168" s="10"/>
      <c r="J168" s="11"/>
    </row>
    <row r="169" spans="1:10" ht="13.5" customHeight="1" x14ac:dyDescent="0.3">
      <c r="A169" s="24" t="s">
        <v>133</v>
      </c>
      <c r="B169" s="23" t="s">
        <v>132</v>
      </c>
      <c r="C169" s="21">
        <f t="shared" si="5"/>
        <v>91.8</v>
      </c>
      <c r="D169" s="22" t="s">
        <v>50</v>
      </c>
      <c r="E169" s="21">
        <v>3.4</v>
      </c>
      <c r="H169" s="10"/>
      <c r="I169" s="10"/>
      <c r="J169" s="11"/>
    </row>
    <row r="170" spans="1:10" x14ac:dyDescent="0.3">
      <c r="A170" s="24" t="s">
        <v>131</v>
      </c>
      <c r="B170" s="23" t="s">
        <v>130</v>
      </c>
      <c r="C170" s="21">
        <f t="shared" si="5"/>
        <v>264.60000000000002</v>
      </c>
      <c r="D170" s="22" t="s">
        <v>36</v>
      </c>
      <c r="E170" s="21">
        <v>9.8000000000000007</v>
      </c>
      <c r="H170" s="10"/>
      <c r="I170" s="10"/>
      <c r="J170" s="11"/>
    </row>
    <row r="171" spans="1:10" x14ac:dyDescent="0.3">
      <c r="A171" s="24" t="s">
        <v>129</v>
      </c>
      <c r="B171" s="23" t="s">
        <v>128</v>
      </c>
      <c r="C171" s="21">
        <f t="shared" si="5"/>
        <v>81</v>
      </c>
      <c r="D171" s="22" t="s">
        <v>50</v>
      </c>
      <c r="E171" s="21">
        <v>3</v>
      </c>
      <c r="H171" s="10"/>
      <c r="I171" s="10"/>
      <c r="J171" s="11"/>
    </row>
    <row r="172" spans="1:10" s="25" customFormat="1" ht="13.5" customHeight="1" thickBot="1" x14ac:dyDescent="0.35">
      <c r="A172" s="24" t="s">
        <v>127</v>
      </c>
      <c r="B172" s="23" t="s">
        <v>126</v>
      </c>
      <c r="C172" s="21">
        <f t="shared" si="5"/>
        <v>162</v>
      </c>
      <c r="D172" s="22" t="s">
        <v>36</v>
      </c>
      <c r="E172" s="21">
        <v>6</v>
      </c>
      <c r="F172" s="26"/>
      <c r="G172" s="8"/>
      <c r="H172" s="10"/>
      <c r="I172" s="10"/>
      <c r="J172" s="11"/>
    </row>
    <row r="173" spans="1:10" ht="15" customHeight="1" thickBot="1" x14ac:dyDescent="0.35">
      <c r="A173" s="189" t="s">
        <v>35</v>
      </c>
      <c r="B173" s="189"/>
      <c r="C173" s="189"/>
      <c r="D173" s="189"/>
      <c r="E173" s="189"/>
      <c r="H173" s="10"/>
      <c r="I173" s="10"/>
      <c r="J173" s="11"/>
    </row>
    <row r="174" spans="1:10" ht="16.5" customHeight="1" thickBot="1" x14ac:dyDescent="0.35">
      <c r="A174" s="31" t="s">
        <v>125</v>
      </c>
      <c r="B174" s="30" t="s">
        <v>124</v>
      </c>
      <c r="C174" s="28" t="s">
        <v>123</v>
      </c>
      <c r="D174" s="29" t="s">
        <v>122</v>
      </c>
      <c r="E174" s="28" t="s">
        <v>121</v>
      </c>
      <c r="H174" s="10"/>
      <c r="I174" s="10"/>
      <c r="J174" s="11"/>
    </row>
    <row r="175" spans="1:10" ht="16.5" customHeight="1" x14ac:dyDescent="0.3">
      <c r="A175" s="24" t="s">
        <v>120</v>
      </c>
      <c r="B175" s="23" t="s">
        <v>119</v>
      </c>
      <c r="C175" s="21">
        <f t="shared" ref="C175:C216" si="6">E175*27</f>
        <v>164.7</v>
      </c>
      <c r="D175" s="22" t="s">
        <v>50</v>
      </c>
      <c r="E175" s="21">
        <v>6.1</v>
      </c>
      <c r="H175" s="10"/>
      <c r="I175" s="10"/>
      <c r="J175" s="11"/>
    </row>
    <row r="176" spans="1:10" ht="16.5" customHeight="1" x14ac:dyDescent="0.3">
      <c r="A176" s="24" t="s">
        <v>118</v>
      </c>
      <c r="B176" s="23" t="s">
        <v>117</v>
      </c>
      <c r="C176" s="21">
        <f t="shared" si="6"/>
        <v>56.7</v>
      </c>
      <c r="D176" s="22" t="s">
        <v>36</v>
      </c>
      <c r="E176" s="21">
        <v>2.1</v>
      </c>
      <c r="H176" s="10"/>
      <c r="I176" s="10"/>
      <c r="J176" s="11"/>
    </row>
    <row r="177" spans="1:10" ht="16.5" customHeight="1" x14ac:dyDescent="0.3">
      <c r="A177" s="24" t="s">
        <v>116</v>
      </c>
      <c r="B177" s="23" t="s">
        <v>115</v>
      </c>
      <c r="C177" s="21">
        <f t="shared" si="6"/>
        <v>75.599999999999994</v>
      </c>
      <c r="D177" s="22" t="s">
        <v>36</v>
      </c>
      <c r="E177" s="21">
        <v>2.8</v>
      </c>
      <c r="H177" s="10"/>
      <c r="I177" s="10"/>
      <c r="J177" s="11"/>
    </row>
    <row r="178" spans="1:10" x14ac:dyDescent="0.3">
      <c r="A178" s="24" t="s">
        <v>114</v>
      </c>
      <c r="B178" s="23" t="s">
        <v>113</v>
      </c>
      <c r="C178" s="21">
        <f t="shared" si="6"/>
        <v>51.3</v>
      </c>
      <c r="D178" s="22" t="s">
        <v>36</v>
      </c>
      <c r="E178" s="21">
        <v>1.9</v>
      </c>
      <c r="H178" s="10"/>
      <c r="I178" s="10"/>
      <c r="J178" s="11"/>
    </row>
    <row r="179" spans="1:10" ht="13.5" customHeight="1" x14ac:dyDescent="0.3">
      <c r="A179" s="24" t="s">
        <v>112</v>
      </c>
      <c r="B179" s="23" t="s">
        <v>111</v>
      </c>
      <c r="C179" s="21">
        <f t="shared" si="6"/>
        <v>21.6</v>
      </c>
      <c r="D179" s="22" t="s">
        <v>36</v>
      </c>
      <c r="E179" s="21">
        <v>0.8</v>
      </c>
      <c r="H179" s="10"/>
      <c r="I179" s="10"/>
      <c r="J179" s="11"/>
    </row>
    <row r="180" spans="1:10" ht="13.5" customHeight="1" x14ac:dyDescent="0.3">
      <c r="A180" s="24" t="s">
        <v>110</v>
      </c>
      <c r="B180" s="23" t="s">
        <v>109</v>
      </c>
      <c r="C180" s="21">
        <f t="shared" si="6"/>
        <v>56.7</v>
      </c>
      <c r="D180" s="22" t="s">
        <v>36</v>
      </c>
      <c r="E180" s="21">
        <v>2.1</v>
      </c>
      <c r="H180" s="10"/>
      <c r="I180" s="10"/>
      <c r="J180" s="11"/>
    </row>
    <row r="181" spans="1:10" ht="13.5" customHeight="1" x14ac:dyDescent="0.3">
      <c r="A181" s="24" t="s">
        <v>108</v>
      </c>
      <c r="B181" s="23" t="s">
        <v>107</v>
      </c>
      <c r="C181" s="21">
        <f t="shared" si="6"/>
        <v>59.400000000000006</v>
      </c>
      <c r="D181" s="22" t="s">
        <v>36</v>
      </c>
      <c r="E181" s="21">
        <v>2.2000000000000002</v>
      </c>
      <c r="H181" s="10"/>
      <c r="I181" s="10"/>
      <c r="J181" s="11"/>
    </row>
    <row r="182" spans="1:10" ht="13.5" customHeight="1" x14ac:dyDescent="0.3">
      <c r="A182" s="24" t="s">
        <v>106</v>
      </c>
      <c r="B182" s="23" t="s">
        <v>105</v>
      </c>
      <c r="C182" s="21">
        <f t="shared" si="6"/>
        <v>75.599999999999994</v>
      </c>
      <c r="D182" s="22" t="s">
        <v>36</v>
      </c>
      <c r="E182" s="21">
        <v>2.8</v>
      </c>
      <c r="H182" s="10"/>
      <c r="I182" s="10"/>
      <c r="J182" s="11"/>
    </row>
    <row r="183" spans="1:10" ht="13.5" customHeight="1" x14ac:dyDescent="0.3">
      <c r="A183" s="24" t="s">
        <v>104</v>
      </c>
      <c r="B183" s="23" t="s">
        <v>103</v>
      </c>
      <c r="C183" s="21">
        <f t="shared" si="6"/>
        <v>56.7</v>
      </c>
      <c r="D183" s="22" t="s">
        <v>36</v>
      </c>
      <c r="E183" s="21">
        <v>2.1</v>
      </c>
      <c r="H183" s="10"/>
      <c r="I183" s="10"/>
      <c r="J183" s="11"/>
    </row>
    <row r="184" spans="1:10" ht="13.5" customHeight="1" x14ac:dyDescent="0.3">
      <c r="A184" s="24" t="s">
        <v>102</v>
      </c>
      <c r="B184" s="23" t="s">
        <v>101</v>
      </c>
      <c r="C184" s="21">
        <f t="shared" si="6"/>
        <v>596.70000000000005</v>
      </c>
      <c r="D184" s="22" t="s">
        <v>50</v>
      </c>
      <c r="E184" s="21">
        <v>22.1</v>
      </c>
      <c r="H184" s="10"/>
      <c r="I184" s="10"/>
      <c r="J184" s="11"/>
    </row>
    <row r="185" spans="1:10" ht="13.5" customHeight="1" x14ac:dyDescent="0.3">
      <c r="A185" s="24" t="s">
        <v>100</v>
      </c>
      <c r="B185" s="23" t="s">
        <v>99</v>
      </c>
      <c r="C185" s="21">
        <f t="shared" si="6"/>
        <v>43.2</v>
      </c>
      <c r="D185" s="22" t="s">
        <v>50</v>
      </c>
      <c r="E185" s="21">
        <v>1.6</v>
      </c>
      <c r="H185" s="10"/>
      <c r="I185" s="10"/>
      <c r="J185" s="11"/>
    </row>
    <row r="186" spans="1:10" ht="13.5" customHeight="1" x14ac:dyDescent="0.3">
      <c r="A186" s="24" t="s">
        <v>98</v>
      </c>
      <c r="B186" s="23" t="s">
        <v>97</v>
      </c>
      <c r="C186" s="21">
        <f t="shared" si="6"/>
        <v>43.2</v>
      </c>
      <c r="D186" s="22" t="s">
        <v>50</v>
      </c>
      <c r="E186" s="21">
        <v>1.6</v>
      </c>
      <c r="H186" s="10"/>
      <c r="I186" s="10"/>
      <c r="J186" s="11"/>
    </row>
    <row r="187" spans="1:10" ht="13.5" customHeight="1" x14ac:dyDescent="0.3">
      <c r="A187" s="24" t="s">
        <v>96</v>
      </c>
      <c r="B187" s="23" t="s">
        <v>95</v>
      </c>
      <c r="C187" s="21">
        <f t="shared" si="6"/>
        <v>54</v>
      </c>
      <c r="D187" s="22" t="s">
        <v>50</v>
      </c>
      <c r="E187" s="21">
        <v>2</v>
      </c>
      <c r="H187" s="10"/>
      <c r="I187" s="10"/>
      <c r="J187" s="11"/>
    </row>
    <row r="188" spans="1:10" ht="13.5" customHeight="1" x14ac:dyDescent="0.3">
      <c r="A188" s="24" t="s">
        <v>94</v>
      </c>
      <c r="B188" s="23" t="s">
        <v>93</v>
      </c>
      <c r="C188" s="21">
        <f t="shared" si="6"/>
        <v>54</v>
      </c>
      <c r="D188" s="22" t="s">
        <v>50</v>
      </c>
      <c r="E188" s="21">
        <v>2</v>
      </c>
      <c r="H188" s="10"/>
      <c r="I188" s="10"/>
      <c r="J188" s="11"/>
    </row>
    <row r="189" spans="1:10" ht="13.5" customHeight="1" x14ac:dyDescent="0.3">
      <c r="A189" s="24" t="s">
        <v>92</v>
      </c>
      <c r="B189" s="23" t="s">
        <v>91</v>
      </c>
      <c r="C189" s="21">
        <f t="shared" si="6"/>
        <v>45.9</v>
      </c>
      <c r="D189" s="22" t="s">
        <v>50</v>
      </c>
      <c r="E189" s="21">
        <v>1.7</v>
      </c>
      <c r="H189" s="10"/>
      <c r="I189" s="10"/>
      <c r="J189" s="11"/>
    </row>
    <row r="190" spans="1:10" ht="13.5" customHeight="1" x14ac:dyDescent="0.3">
      <c r="A190" s="24" t="s">
        <v>90</v>
      </c>
      <c r="B190" s="23" t="s">
        <v>89</v>
      </c>
      <c r="C190" s="21">
        <f t="shared" si="6"/>
        <v>45.9</v>
      </c>
      <c r="D190" s="22" t="s">
        <v>50</v>
      </c>
      <c r="E190" s="21">
        <v>1.7</v>
      </c>
      <c r="H190" s="10"/>
      <c r="I190" s="10"/>
      <c r="J190" s="11"/>
    </row>
    <row r="191" spans="1:10" ht="13.5" customHeight="1" x14ac:dyDescent="0.3">
      <c r="A191" s="24" t="s">
        <v>88</v>
      </c>
      <c r="B191" s="23" t="s">
        <v>87</v>
      </c>
      <c r="C191" s="21">
        <f t="shared" si="6"/>
        <v>45.9</v>
      </c>
      <c r="D191" s="22" t="s">
        <v>50</v>
      </c>
      <c r="E191" s="21">
        <v>1.7</v>
      </c>
      <c r="H191" s="10"/>
      <c r="I191" s="10"/>
      <c r="J191" s="11"/>
    </row>
    <row r="192" spans="1:10" ht="13.5" customHeight="1" x14ac:dyDescent="0.3">
      <c r="A192" s="24" t="s">
        <v>86</v>
      </c>
      <c r="B192" s="23" t="s">
        <v>85</v>
      </c>
      <c r="C192" s="21">
        <f t="shared" si="6"/>
        <v>45.9</v>
      </c>
      <c r="D192" s="22" t="s">
        <v>50</v>
      </c>
      <c r="E192" s="21">
        <v>1.7</v>
      </c>
      <c r="H192" s="10"/>
      <c r="I192" s="10"/>
      <c r="J192" s="11"/>
    </row>
    <row r="193" spans="1:10" ht="13.5" customHeight="1" x14ac:dyDescent="0.3">
      <c r="A193" s="24" t="s">
        <v>84</v>
      </c>
      <c r="B193" s="23" t="s">
        <v>83</v>
      </c>
      <c r="C193" s="21">
        <f t="shared" si="6"/>
        <v>45.9</v>
      </c>
      <c r="D193" s="22" t="s">
        <v>50</v>
      </c>
      <c r="E193" s="21">
        <v>1.7</v>
      </c>
      <c r="H193" s="10"/>
      <c r="I193" s="10"/>
      <c r="J193" s="11"/>
    </row>
    <row r="194" spans="1:10" ht="13.5" customHeight="1" x14ac:dyDescent="0.3">
      <c r="A194" s="24" t="s">
        <v>82</v>
      </c>
      <c r="B194" s="23" t="s">
        <v>81</v>
      </c>
      <c r="C194" s="21">
        <f t="shared" si="6"/>
        <v>78.3</v>
      </c>
      <c r="D194" s="22" t="s">
        <v>50</v>
      </c>
      <c r="E194" s="21">
        <v>2.9</v>
      </c>
      <c r="H194" s="10"/>
      <c r="I194" s="10"/>
      <c r="J194" s="11"/>
    </row>
    <row r="195" spans="1:10" ht="13.5" customHeight="1" x14ac:dyDescent="0.3">
      <c r="A195" s="24" t="s">
        <v>80</v>
      </c>
      <c r="B195" s="23" t="s">
        <v>79</v>
      </c>
      <c r="C195" s="21">
        <f t="shared" si="6"/>
        <v>62.099999999999994</v>
      </c>
      <c r="D195" s="22" t="s">
        <v>50</v>
      </c>
      <c r="E195" s="21">
        <v>2.2999999999999998</v>
      </c>
      <c r="H195" s="10"/>
      <c r="I195" s="10"/>
      <c r="J195" s="11"/>
    </row>
    <row r="196" spans="1:10" ht="13.5" customHeight="1" x14ac:dyDescent="0.3">
      <c r="A196" s="24" t="s">
        <v>78</v>
      </c>
      <c r="B196" s="23" t="s">
        <v>77</v>
      </c>
      <c r="C196" s="21">
        <f t="shared" si="6"/>
        <v>48.6</v>
      </c>
      <c r="D196" s="22" t="s">
        <v>50</v>
      </c>
      <c r="E196" s="21">
        <v>1.8</v>
      </c>
      <c r="H196" s="10"/>
      <c r="I196" s="10"/>
      <c r="J196" s="11"/>
    </row>
    <row r="197" spans="1:10" ht="13.5" customHeight="1" x14ac:dyDescent="0.3">
      <c r="A197" s="24" t="s">
        <v>76</v>
      </c>
      <c r="B197" s="23" t="s">
        <v>75</v>
      </c>
      <c r="C197" s="21">
        <f t="shared" si="6"/>
        <v>56.7</v>
      </c>
      <c r="D197" s="22" t="s">
        <v>50</v>
      </c>
      <c r="E197" s="21">
        <v>2.1</v>
      </c>
      <c r="H197" s="10"/>
      <c r="I197" s="10"/>
      <c r="J197" s="11"/>
    </row>
    <row r="198" spans="1:10" ht="13.5" customHeight="1" x14ac:dyDescent="0.3">
      <c r="A198" s="24" t="s">
        <v>74</v>
      </c>
      <c r="B198" s="23" t="s">
        <v>73</v>
      </c>
      <c r="C198" s="21">
        <f t="shared" si="6"/>
        <v>29.700000000000003</v>
      </c>
      <c r="D198" s="22" t="s">
        <v>50</v>
      </c>
      <c r="E198" s="21">
        <v>1.1000000000000001</v>
      </c>
      <c r="H198" s="10"/>
      <c r="I198" s="10"/>
      <c r="J198" s="11"/>
    </row>
    <row r="199" spans="1:10" ht="13.5" customHeight="1" x14ac:dyDescent="0.3">
      <c r="A199" s="24" t="s">
        <v>72</v>
      </c>
      <c r="B199" s="23" t="s">
        <v>71</v>
      </c>
      <c r="C199" s="21">
        <f t="shared" si="6"/>
        <v>29.700000000000003</v>
      </c>
      <c r="D199" s="22" t="s">
        <v>50</v>
      </c>
      <c r="E199" s="21">
        <v>1.1000000000000001</v>
      </c>
      <c r="H199" s="10"/>
      <c r="I199" s="10"/>
      <c r="J199" s="11"/>
    </row>
    <row r="200" spans="1:10" ht="13.5" customHeight="1" x14ac:dyDescent="0.3">
      <c r="A200" s="24" t="s">
        <v>70</v>
      </c>
      <c r="B200" s="23" t="s">
        <v>69</v>
      </c>
      <c r="C200" s="21">
        <f t="shared" si="6"/>
        <v>27</v>
      </c>
      <c r="D200" s="22" t="s">
        <v>50</v>
      </c>
      <c r="E200" s="21">
        <v>1</v>
      </c>
      <c r="H200" s="10"/>
      <c r="I200" s="10"/>
      <c r="J200" s="11"/>
    </row>
    <row r="201" spans="1:10" ht="13.5" customHeight="1" x14ac:dyDescent="0.3">
      <c r="A201" s="24" t="s">
        <v>68</v>
      </c>
      <c r="B201" s="23" t="s">
        <v>67</v>
      </c>
      <c r="C201" s="21">
        <f t="shared" si="6"/>
        <v>27</v>
      </c>
      <c r="D201" s="22" t="s">
        <v>50</v>
      </c>
      <c r="E201" s="21">
        <v>1</v>
      </c>
      <c r="H201" s="10"/>
      <c r="I201" s="10"/>
      <c r="J201" s="11"/>
    </row>
    <row r="202" spans="1:10" ht="13.5" customHeight="1" x14ac:dyDescent="0.3">
      <c r="A202" s="24" t="s">
        <v>66</v>
      </c>
      <c r="B202" s="23" t="s">
        <v>65</v>
      </c>
      <c r="C202" s="21">
        <f t="shared" si="6"/>
        <v>105.3</v>
      </c>
      <c r="D202" s="22" t="s">
        <v>50</v>
      </c>
      <c r="E202" s="21">
        <v>3.9</v>
      </c>
      <c r="H202" s="10"/>
      <c r="I202" s="10"/>
      <c r="J202" s="11"/>
    </row>
    <row r="203" spans="1:10" ht="13.5" customHeight="1" x14ac:dyDescent="0.3">
      <c r="A203" s="24" t="s">
        <v>64</v>
      </c>
      <c r="B203" s="23" t="s">
        <v>63</v>
      </c>
      <c r="C203" s="21">
        <f t="shared" si="6"/>
        <v>321.3</v>
      </c>
      <c r="D203" s="22" t="s">
        <v>50</v>
      </c>
      <c r="E203" s="21">
        <v>11.9</v>
      </c>
      <c r="H203" s="10"/>
      <c r="I203" s="10"/>
      <c r="J203" s="11"/>
    </row>
    <row r="204" spans="1:10" ht="13.5" customHeight="1" x14ac:dyDescent="0.3">
      <c r="A204" s="24" t="s">
        <v>62</v>
      </c>
      <c r="B204" s="23" t="s">
        <v>61</v>
      </c>
      <c r="C204" s="21">
        <f t="shared" si="6"/>
        <v>529.20000000000005</v>
      </c>
      <c r="D204" s="22" t="s">
        <v>50</v>
      </c>
      <c r="E204" s="21">
        <v>19.600000000000001</v>
      </c>
      <c r="H204" s="10"/>
      <c r="I204" s="10"/>
      <c r="J204" s="11"/>
    </row>
    <row r="205" spans="1:10" ht="13.5" customHeight="1" x14ac:dyDescent="0.3">
      <c r="A205" s="24" t="s">
        <v>60</v>
      </c>
      <c r="B205" s="23" t="s">
        <v>59</v>
      </c>
      <c r="C205" s="21">
        <f t="shared" si="6"/>
        <v>734.4</v>
      </c>
      <c r="D205" s="22" t="s">
        <v>50</v>
      </c>
      <c r="E205" s="21">
        <v>27.2</v>
      </c>
      <c r="H205" s="10"/>
      <c r="I205" s="10"/>
      <c r="J205" s="11"/>
    </row>
    <row r="206" spans="1:10" ht="13.5" customHeight="1" x14ac:dyDescent="0.3">
      <c r="A206" s="24" t="s">
        <v>58</v>
      </c>
      <c r="B206" s="23" t="s">
        <v>57</v>
      </c>
      <c r="C206" s="21">
        <f t="shared" si="6"/>
        <v>550.79999999999995</v>
      </c>
      <c r="D206" s="22" t="s">
        <v>50</v>
      </c>
      <c r="E206" s="21">
        <v>20.399999999999999</v>
      </c>
      <c r="H206" s="10"/>
      <c r="I206" s="10"/>
      <c r="J206" s="11"/>
    </row>
    <row r="207" spans="1:10" ht="13.5" customHeight="1" x14ac:dyDescent="0.3">
      <c r="A207" s="24" t="s">
        <v>56</v>
      </c>
      <c r="B207" s="23" t="s">
        <v>55</v>
      </c>
      <c r="C207" s="21">
        <f t="shared" si="6"/>
        <v>243</v>
      </c>
      <c r="D207" s="22" t="s">
        <v>50</v>
      </c>
      <c r="E207" s="21">
        <v>9</v>
      </c>
      <c r="H207" s="10"/>
      <c r="I207" s="10"/>
      <c r="J207" s="11"/>
    </row>
    <row r="208" spans="1:10" ht="13.5" customHeight="1" x14ac:dyDescent="0.3">
      <c r="A208" s="24" t="s">
        <v>54</v>
      </c>
      <c r="B208" s="23" t="s">
        <v>53</v>
      </c>
      <c r="C208" s="21">
        <f t="shared" si="6"/>
        <v>280.8</v>
      </c>
      <c r="D208" s="22" t="s">
        <v>50</v>
      </c>
      <c r="E208" s="21">
        <v>10.4</v>
      </c>
      <c r="H208" s="10"/>
      <c r="I208" s="10"/>
      <c r="J208" s="11"/>
    </row>
    <row r="209" spans="1:10" ht="13.5" customHeight="1" x14ac:dyDescent="0.3">
      <c r="A209" s="24" t="s">
        <v>52</v>
      </c>
      <c r="B209" s="23" t="s">
        <v>51</v>
      </c>
      <c r="C209" s="21">
        <f t="shared" si="6"/>
        <v>585.9</v>
      </c>
      <c r="D209" s="22" t="s">
        <v>50</v>
      </c>
      <c r="E209" s="21">
        <v>21.7</v>
      </c>
      <c r="H209" s="10"/>
      <c r="I209" s="10"/>
      <c r="J209" s="11"/>
    </row>
    <row r="210" spans="1:10" ht="13.5" customHeight="1" x14ac:dyDescent="0.3">
      <c r="A210" s="24" t="s">
        <v>49</v>
      </c>
      <c r="B210" s="23" t="s">
        <v>48</v>
      </c>
      <c r="C210" s="21">
        <f t="shared" si="6"/>
        <v>153.9</v>
      </c>
      <c r="D210" s="22" t="s">
        <v>36</v>
      </c>
      <c r="E210" s="21">
        <v>5.7</v>
      </c>
      <c r="H210" s="10"/>
      <c r="I210" s="10"/>
      <c r="J210" s="11"/>
    </row>
    <row r="211" spans="1:10" s="25" customFormat="1" ht="13.5" customHeight="1" x14ac:dyDescent="0.3">
      <c r="A211" s="24" t="s">
        <v>47</v>
      </c>
      <c r="B211" s="23" t="s">
        <v>46</v>
      </c>
      <c r="C211" s="21">
        <f t="shared" si="6"/>
        <v>59.400000000000006</v>
      </c>
      <c r="D211" s="22" t="s">
        <v>36</v>
      </c>
      <c r="E211" s="27">
        <v>2.2000000000000002</v>
      </c>
      <c r="F211" s="26"/>
      <c r="G211" s="8"/>
      <c r="H211" s="10"/>
      <c r="I211" s="10"/>
      <c r="J211" s="11"/>
    </row>
    <row r="212" spans="1:10" ht="13.5" customHeight="1" x14ac:dyDescent="0.3">
      <c r="A212" s="24" t="s">
        <v>45</v>
      </c>
      <c r="B212" s="23" t="s">
        <v>44</v>
      </c>
      <c r="C212" s="21">
        <f t="shared" si="6"/>
        <v>113.4</v>
      </c>
      <c r="D212" s="22" t="s">
        <v>36</v>
      </c>
      <c r="E212" s="21">
        <v>4.2</v>
      </c>
      <c r="H212" s="10"/>
      <c r="I212" s="10"/>
      <c r="J212" s="11"/>
    </row>
    <row r="213" spans="1:10" ht="13.5" customHeight="1" x14ac:dyDescent="0.3">
      <c r="A213" s="24" t="s">
        <v>43</v>
      </c>
      <c r="B213" s="23" t="s">
        <v>41</v>
      </c>
      <c r="C213" s="21">
        <f t="shared" si="6"/>
        <v>129.6</v>
      </c>
      <c r="D213" s="22" t="s">
        <v>36</v>
      </c>
      <c r="E213" s="21">
        <v>4.8</v>
      </c>
      <c r="H213" s="10"/>
      <c r="I213" s="10"/>
      <c r="J213" s="11"/>
    </row>
    <row r="214" spans="1:10" ht="13.5" customHeight="1" x14ac:dyDescent="0.3">
      <c r="A214" s="24" t="s">
        <v>42</v>
      </c>
      <c r="B214" s="23" t="s">
        <v>41</v>
      </c>
      <c r="C214" s="21">
        <f t="shared" si="6"/>
        <v>488.70000000000005</v>
      </c>
      <c r="D214" s="22" t="s">
        <v>36</v>
      </c>
      <c r="E214" s="21">
        <v>18.100000000000001</v>
      </c>
      <c r="H214" s="10"/>
      <c r="I214" s="10"/>
      <c r="J214" s="11"/>
    </row>
    <row r="215" spans="1:10" ht="13.5" customHeight="1" x14ac:dyDescent="0.3">
      <c r="A215" s="24" t="s">
        <v>40</v>
      </c>
      <c r="B215" s="23" t="s">
        <v>39</v>
      </c>
      <c r="C215" s="21">
        <f t="shared" si="6"/>
        <v>202.5</v>
      </c>
      <c r="D215" s="22" t="s">
        <v>36</v>
      </c>
      <c r="E215" s="21">
        <v>7.5</v>
      </c>
      <c r="H215" s="10"/>
      <c r="I215" s="10"/>
      <c r="J215" s="11"/>
    </row>
    <row r="216" spans="1:10" ht="13.5" customHeight="1" thickBot="1" x14ac:dyDescent="0.35">
      <c r="A216" s="20" t="s">
        <v>38</v>
      </c>
      <c r="B216" s="19" t="s">
        <v>37</v>
      </c>
      <c r="C216" s="17">
        <f t="shared" si="6"/>
        <v>248.39999999999998</v>
      </c>
      <c r="D216" s="18" t="s">
        <v>36</v>
      </c>
      <c r="E216" s="17">
        <v>9.1999999999999993</v>
      </c>
      <c r="H216" s="10"/>
      <c r="I216" s="10"/>
      <c r="J216" s="11"/>
    </row>
    <row r="217" spans="1:10" ht="15" customHeight="1" x14ac:dyDescent="0.3">
      <c r="A217" s="189" t="s">
        <v>35</v>
      </c>
      <c r="B217" s="189"/>
      <c r="C217" s="189"/>
      <c r="D217" s="189"/>
      <c r="E217" s="189"/>
      <c r="H217" s="10"/>
      <c r="I217" s="10"/>
      <c r="J217" s="11"/>
    </row>
    <row r="219" spans="1:10" x14ac:dyDescent="0.3">
      <c r="B219" s="16" t="s">
        <v>34</v>
      </c>
    </row>
    <row r="220" spans="1:10" x14ac:dyDescent="0.3">
      <c r="B220" s="16" t="s">
        <v>33</v>
      </c>
    </row>
    <row r="229" spans="1:5" x14ac:dyDescent="0.3">
      <c r="B229" s="15" t="s">
        <v>32</v>
      </c>
    </row>
    <row r="230" spans="1:5" x14ac:dyDescent="0.3">
      <c r="B230" s="14"/>
      <c r="C230" s="13" t="s">
        <v>31</v>
      </c>
    </row>
    <row r="233" spans="1:5" x14ac:dyDescent="0.3">
      <c r="A233" s="190"/>
      <c r="B233" s="190"/>
      <c r="C233" s="190"/>
      <c r="D233" s="190"/>
      <c r="E233" s="190"/>
    </row>
    <row r="234" spans="1:5" x14ac:dyDescent="0.3">
      <c r="A234" s="187"/>
      <c r="B234" s="187"/>
      <c r="C234" s="187"/>
      <c r="D234" s="187"/>
      <c r="E234" s="187"/>
    </row>
  </sheetData>
  <mergeCells count="7">
    <mergeCell ref="A234:E234"/>
    <mergeCell ref="A5:E5"/>
    <mergeCell ref="A173:E173"/>
    <mergeCell ref="A217:E217"/>
    <mergeCell ref="A233:E233"/>
    <mergeCell ref="A56:E56"/>
    <mergeCell ref="A115:E115"/>
  </mergeCells>
  <hyperlinks>
    <hyperlink ref="H4" r:id="rId1" display="C:\Users\Karel\OneDrive\Dokumenty\ploty" xr:uid="{00000000-0004-0000-0000-000000000000}"/>
    <hyperlink ref="G5" r:id="rId2" xr:uid="{00000000-0004-0000-0000-000001000000}"/>
    <hyperlink ref="G7" r:id="rId3" xr:uid="{00000000-0004-0000-0000-000002000000}"/>
    <hyperlink ref="G9" r:id="rId4" xr:uid="{00000000-0004-0000-0000-000003000000}"/>
  </hyperlinks>
  <pageMargins left="0.27559055118110237" right="0.27559055118110237" top="0.39370078740157483" bottom="0.39370078740157483" header="0" footer="0"/>
  <pageSetup paperSize="9" orientation="portrait" r:id="rId5"/>
  <headerFooter alignWithMargins="0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T127"/>
  <sheetViews>
    <sheetView topLeftCell="A20" zoomScale="80" zoomScaleNormal="80" workbookViewId="0">
      <selection activeCell="I27" sqref="I27"/>
    </sheetView>
  </sheetViews>
  <sheetFormatPr defaultRowHeight="12.75" x14ac:dyDescent="0.2"/>
  <cols>
    <col min="1" max="1" width="46.140625" customWidth="1"/>
    <col min="2" max="2" width="14.7109375" customWidth="1"/>
    <col min="3" max="3" width="14.28515625" customWidth="1"/>
    <col min="4" max="4" width="11.28515625" customWidth="1"/>
    <col min="5" max="5" width="12.28515625" customWidth="1"/>
    <col min="6" max="6" width="13" customWidth="1"/>
    <col min="7" max="7" width="15.42578125" customWidth="1"/>
    <col min="8" max="8" width="16.5703125" customWidth="1"/>
    <col min="10" max="13" width="12.85546875" customWidth="1"/>
    <col min="15" max="15" width="30.5703125" customWidth="1"/>
    <col min="16" max="16" width="14.42578125" customWidth="1"/>
    <col min="18" max="18" width="9.5703125" customWidth="1"/>
    <col min="20" max="20" width="11.5703125" bestFit="1" customWidth="1"/>
    <col min="21" max="21" width="12" customWidth="1"/>
    <col min="22" max="22" width="12.85546875" customWidth="1"/>
  </cols>
  <sheetData>
    <row r="1" spans="1:10" ht="16.5" customHeight="1" thickBot="1" x14ac:dyDescent="0.25">
      <c r="A1" s="122" t="s">
        <v>559</v>
      </c>
      <c r="B1" s="197" t="s">
        <v>564</v>
      </c>
      <c r="C1" s="198"/>
      <c r="D1" s="195" t="s">
        <v>470</v>
      </c>
      <c r="E1" s="195"/>
      <c r="F1" s="195"/>
      <c r="G1" s="195"/>
      <c r="H1" s="196"/>
    </row>
    <row r="3" spans="1:10" ht="225" customHeight="1" x14ac:dyDescent="0.2"/>
    <row r="4" spans="1:10" ht="39.75" customHeight="1" x14ac:dyDescent="0.2">
      <c r="A4" s="191" t="s">
        <v>567</v>
      </c>
      <c r="B4" s="191"/>
      <c r="C4" s="191"/>
      <c r="D4" s="191"/>
      <c r="E4" s="191"/>
      <c r="F4" s="191"/>
      <c r="G4" s="191"/>
      <c r="H4" s="191"/>
    </row>
    <row r="5" spans="1:10" x14ac:dyDescent="0.2">
      <c r="A5" s="2" t="s">
        <v>10</v>
      </c>
      <c r="B5" s="2" t="s">
        <v>555</v>
      </c>
      <c r="C5" s="2"/>
      <c r="D5" s="2"/>
      <c r="E5" s="2"/>
      <c r="F5" s="2"/>
      <c r="G5" s="2"/>
      <c r="H5" s="2"/>
    </row>
    <row r="6" spans="1:10" x14ac:dyDescent="0.2">
      <c r="A6" s="2" t="s">
        <v>9</v>
      </c>
      <c r="B6" s="121" t="s">
        <v>11</v>
      </c>
      <c r="C6" s="2"/>
      <c r="D6" s="2"/>
      <c r="E6" s="2"/>
      <c r="F6" s="2"/>
      <c r="G6" s="2"/>
      <c r="H6" s="2"/>
    </row>
    <row r="7" spans="1:10" ht="18" customHeight="1" thickBot="1" x14ac:dyDescent="0.25">
      <c r="A7" s="126" t="s">
        <v>8</v>
      </c>
      <c r="B7" s="126" t="s">
        <v>11</v>
      </c>
      <c r="C7" s="126"/>
      <c r="D7" s="126" t="s">
        <v>588</v>
      </c>
      <c r="E7" s="126"/>
      <c r="F7" s="139">
        <v>0</v>
      </c>
      <c r="G7" s="126"/>
      <c r="H7" s="126"/>
    </row>
    <row r="8" spans="1:10" ht="29.25" customHeight="1" x14ac:dyDescent="0.2">
      <c r="A8" s="153" t="s">
        <v>573</v>
      </c>
      <c r="B8" s="154" t="s">
        <v>574</v>
      </c>
      <c r="C8" s="155" t="s">
        <v>582</v>
      </c>
      <c r="D8" s="154" t="s">
        <v>575</v>
      </c>
      <c r="E8" s="154" t="s">
        <v>576</v>
      </c>
      <c r="F8" s="154" t="s">
        <v>585</v>
      </c>
      <c r="G8" s="154" t="s">
        <v>591</v>
      </c>
      <c r="H8" s="154" t="s">
        <v>558</v>
      </c>
      <c r="J8" s="173" t="s">
        <v>11</v>
      </c>
    </row>
    <row r="9" spans="1:10" ht="24.75" customHeight="1" thickBot="1" x14ac:dyDescent="0.25">
      <c r="A9" s="163"/>
      <c r="B9" s="164" t="s">
        <v>455</v>
      </c>
      <c r="C9" s="164" t="s">
        <v>493</v>
      </c>
      <c r="D9" s="164" t="s">
        <v>493</v>
      </c>
      <c r="E9" s="164" t="s">
        <v>493</v>
      </c>
      <c r="F9" s="164" t="s">
        <v>493</v>
      </c>
      <c r="G9" s="164" t="s">
        <v>493</v>
      </c>
      <c r="H9" s="164" t="s">
        <v>493</v>
      </c>
    </row>
    <row r="10" spans="1:10" x14ac:dyDescent="0.2">
      <c r="A10" s="157" t="s">
        <v>566</v>
      </c>
      <c r="B10" s="158" t="s">
        <v>11</v>
      </c>
      <c r="C10" s="158" t="s">
        <v>11</v>
      </c>
      <c r="D10" s="158" t="s">
        <v>11</v>
      </c>
      <c r="E10" s="158" t="s">
        <v>11</v>
      </c>
      <c r="F10" s="158" t="s">
        <v>11</v>
      </c>
      <c r="G10" s="159" t="s">
        <v>11</v>
      </c>
      <c r="H10" s="160">
        <v>0</v>
      </c>
    </row>
    <row r="11" spans="1:10" ht="16.5" customHeight="1" thickBot="1" x14ac:dyDescent="0.25">
      <c r="A11" s="161"/>
      <c r="H11" s="162"/>
    </row>
    <row r="12" spans="1:10" ht="16.5" customHeight="1" x14ac:dyDescent="0.2">
      <c r="A12" s="130"/>
      <c r="B12" s="131" t="s">
        <v>568</v>
      </c>
      <c r="C12" s="131" t="s">
        <v>569</v>
      </c>
      <c r="D12" s="131" t="s">
        <v>2</v>
      </c>
      <c r="E12" s="131" t="s">
        <v>7</v>
      </c>
      <c r="F12" s="131" t="s">
        <v>496</v>
      </c>
      <c r="G12" s="131" t="s">
        <v>499</v>
      </c>
      <c r="H12" s="156"/>
    </row>
    <row r="13" spans="1:10" x14ac:dyDescent="0.2">
      <c r="A13" s="134" t="s">
        <v>565</v>
      </c>
      <c r="B13" s="139">
        <v>0</v>
      </c>
      <c r="C13" s="139">
        <v>0</v>
      </c>
      <c r="D13" s="2">
        <f>C13*B13</f>
        <v>0</v>
      </c>
      <c r="E13" s="139">
        <v>0</v>
      </c>
      <c r="F13" s="2">
        <f>E13*D13</f>
        <v>0</v>
      </c>
      <c r="G13" s="3">
        <f>H43/(SUM(F13:F25))</f>
        <v>3252.3669360000004</v>
      </c>
      <c r="H13" s="135"/>
    </row>
    <row r="14" spans="1:10" x14ac:dyDescent="0.2">
      <c r="A14" s="134" t="s">
        <v>11</v>
      </c>
      <c r="B14" s="139">
        <v>0</v>
      </c>
      <c r="C14" s="139">
        <v>0</v>
      </c>
      <c r="D14" s="2">
        <f>C14*B14</f>
        <v>0</v>
      </c>
      <c r="E14" s="139">
        <v>0</v>
      </c>
      <c r="F14" s="2">
        <f t="shared" ref="F14" si="0">E14*D14</f>
        <v>0</v>
      </c>
      <c r="G14" s="3"/>
      <c r="H14" s="135"/>
    </row>
    <row r="15" spans="1:10" ht="13.5" thickBot="1" x14ac:dyDescent="0.25">
      <c r="A15" s="136" t="s">
        <v>11</v>
      </c>
      <c r="B15" s="141">
        <v>0</v>
      </c>
      <c r="C15" s="141">
        <v>0</v>
      </c>
      <c r="D15" s="58">
        <f>C15*B15</f>
        <v>0</v>
      </c>
      <c r="E15" s="141">
        <v>0</v>
      </c>
      <c r="F15" s="58">
        <f t="shared" ref="F15" si="1">E15*D15</f>
        <v>0</v>
      </c>
      <c r="G15" s="137"/>
      <c r="H15" s="138"/>
      <c r="I15" s="144" t="s">
        <v>11</v>
      </c>
    </row>
    <row r="16" spans="1:10" x14ac:dyDescent="0.2">
      <c r="A16" s="150" t="s">
        <v>4</v>
      </c>
      <c r="B16" s="151">
        <v>1</v>
      </c>
      <c r="C16" s="151">
        <v>1</v>
      </c>
      <c r="D16" s="2">
        <f t="shared" ref="D16:D20" si="2">C16*B16</f>
        <v>1</v>
      </c>
      <c r="E16" s="151">
        <v>1</v>
      </c>
      <c r="F16" s="128">
        <f>E16*D16</f>
        <v>1</v>
      </c>
      <c r="G16" s="129"/>
      <c r="H16" s="152"/>
    </row>
    <row r="17" spans="1:10" x14ac:dyDescent="0.2">
      <c r="A17" s="134"/>
      <c r="B17" s="139">
        <v>0</v>
      </c>
      <c r="C17" s="139">
        <v>0</v>
      </c>
      <c r="D17" s="2">
        <f t="shared" si="2"/>
        <v>0</v>
      </c>
      <c r="E17" s="139">
        <v>0</v>
      </c>
      <c r="F17" s="2">
        <f t="shared" ref="F17:F20" si="3">E17*D17</f>
        <v>0</v>
      </c>
      <c r="G17" s="3"/>
      <c r="H17" s="135"/>
    </row>
    <row r="18" spans="1:10" x14ac:dyDescent="0.2">
      <c r="A18" s="134"/>
      <c r="B18" s="139">
        <v>0</v>
      </c>
      <c r="C18" s="139">
        <v>0</v>
      </c>
      <c r="D18" s="2">
        <f t="shared" si="2"/>
        <v>0</v>
      </c>
      <c r="E18" s="139">
        <v>0</v>
      </c>
      <c r="F18" s="2">
        <f t="shared" si="3"/>
        <v>0</v>
      </c>
      <c r="G18" s="3"/>
      <c r="H18" s="135"/>
    </row>
    <row r="19" spans="1:10" x14ac:dyDescent="0.2">
      <c r="A19" s="134"/>
      <c r="B19" s="139">
        <v>0</v>
      </c>
      <c r="C19" s="139">
        <v>0</v>
      </c>
      <c r="D19" s="2">
        <f t="shared" si="2"/>
        <v>0</v>
      </c>
      <c r="E19" s="139">
        <v>0</v>
      </c>
      <c r="F19" s="2">
        <f t="shared" si="3"/>
        <v>0</v>
      </c>
      <c r="G19" s="3"/>
      <c r="H19" s="135"/>
    </row>
    <row r="20" spans="1:10" x14ac:dyDescent="0.2">
      <c r="A20" s="134"/>
      <c r="B20" s="139"/>
      <c r="C20" s="139"/>
      <c r="D20" s="2">
        <f t="shared" si="2"/>
        <v>0</v>
      </c>
      <c r="E20" s="139">
        <v>0</v>
      </c>
      <c r="F20" s="2">
        <f t="shared" si="3"/>
        <v>0</v>
      </c>
      <c r="G20" s="3"/>
      <c r="H20" s="135"/>
    </row>
    <row r="21" spans="1:10" x14ac:dyDescent="0.2">
      <c r="A21" s="134"/>
      <c r="B21" s="139"/>
      <c r="C21" s="139"/>
      <c r="D21" s="2">
        <f t="shared" ref="D21:D24" si="4">C21*B21</f>
        <v>0</v>
      </c>
      <c r="E21" s="139">
        <v>0</v>
      </c>
      <c r="F21" s="2">
        <f t="shared" ref="F21" si="5">E21*D21</f>
        <v>0</v>
      </c>
      <c r="G21" s="3"/>
      <c r="H21" s="135"/>
    </row>
    <row r="22" spans="1:10" x14ac:dyDescent="0.2">
      <c r="A22" s="134"/>
      <c r="B22" s="139"/>
      <c r="C22" s="139"/>
      <c r="D22" s="2">
        <f t="shared" si="4"/>
        <v>0</v>
      </c>
      <c r="E22" s="139">
        <v>0</v>
      </c>
      <c r="F22" s="2">
        <f t="shared" ref="F22:F24" si="6">E22*D22</f>
        <v>0</v>
      </c>
      <c r="G22" s="3"/>
      <c r="H22" s="135"/>
    </row>
    <row r="23" spans="1:10" x14ac:dyDescent="0.2">
      <c r="A23" s="134"/>
      <c r="B23" s="139"/>
      <c r="C23" s="139"/>
      <c r="D23" s="2">
        <f t="shared" si="4"/>
        <v>0</v>
      </c>
      <c r="E23" s="139">
        <v>0</v>
      </c>
      <c r="F23" s="2">
        <f t="shared" si="6"/>
        <v>0</v>
      </c>
      <c r="G23" s="3"/>
      <c r="H23" s="135"/>
    </row>
    <row r="24" spans="1:10" ht="13.5" thickBot="1" x14ac:dyDescent="0.25">
      <c r="A24" s="136"/>
      <c r="B24" s="141"/>
      <c r="C24" s="141"/>
      <c r="D24" s="58">
        <f t="shared" si="4"/>
        <v>0</v>
      </c>
      <c r="E24" s="141">
        <v>0</v>
      </c>
      <c r="F24" s="58">
        <f t="shared" si="6"/>
        <v>0</v>
      </c>
      <c r="G24" s="137"/>
      <c r="H24" s="138"/>
    </row>
    <row r="25" spans="1:10" x14ac:dyDescent="0.2">
      <c r="A25" s="130" t="s">
        <v>594</v>
      </c>
      <c r="B25" s="140">
        <v>0</v>
      </c>
      <c r="C25" s="140">
        <v>0</v>
      </c>
      <c r="D25" s="131">
        <f>C25*B25</f>
        <v>0</v>
      </c>
      <c r="E25" s="140">
        <v>0</v>
      </c>
      <c r="F25" s="131">
        <f>E25*D25</f>
        <v>0</v>
      </c>
      <c r="G25" s="132"/>
      <c r="H25" s="133"/>
    </row>
    <row r="26" spans="1:10" x14ac:dyDescent="0.2">
      <c r="A26" s="134" t="s">
        <v>572</v>
      </c>
      <c r="B26" s="139"/>
      <c r="C26" s="139"/>
      <c r="D26" s="2"/>
      <c r="E26" s="139"/>
      <c r="F26" s="2"/>
      <c r="G26" s="3"/>
      <c r="H26" s="135"/>
    </row>
    <row r="27" spans="1:10" x14ac:dyDescent="0.2">
      <c r="A27" s="134"/>
      <c r="B27" s="139"/>
      <c r="C27" s="139"/>
      <c r="D27" s="2"/>
      <c r="E27" s="139"/>
      <c r="F27" s="2"/>
      <c r="G27" s="3"/>
      <c r="H27" s="135"/>
    </row>
    <row r="28" spans="1:10" ht="13.5" thickBot="1" x14ac:dyDescent="0.25">
      <c r="A28" s="149" t="s">
        <v>5</v>
      </c>
      <c r="B28" s="145"/>
      <c r="C28" s="145"/>
      <c r="D28" s="126"/>
      <c r="E28" s="145"/>
      <c r="F28" s="126" t="s">
        <v>11</v>
      </c>
      <c r="G28" s="127"/>
      <c r="H28" s="165">
        <v>0</v>
      </c>
    </row>
    <row r="29" spans="1:10" x14ac:dyDescent="0.2">
      <c r="A29" s="130" t="s">
        <v>1</v>
      </c>
      <c r="B29" s="140">
        <v>0</v>
      </c>
      <c r="C29" s="131" t="s">
        <v>11</v>
      </c>
      <c r="D29" s="131" t="s">
        <v>11</v>
      </c>
      <c r="E29" s="140">
        <v>0</v>
      </c>
      <c r="F29" s="131"/>
      <c r="G29" s="132"/>
      <c r="H29" s="133"/>
      <c r="J29">
        <f>8*2500</f>
        <v>20000</v>
      </c>
    </row>
    <row r="30" spans="1:10" x14ac:dyDescent="0.2">
      <c r="A30" s="134" t="s">
        <v>11</v>
      </c>
      <c r="B30" s="139">
        <v>0</v>
      </c>
      <c r="C30" s="2" t="s">
        <v>11</v>
      </c>
      <c r="D30" s="2" t="s">
        <v>11</v>
      </c>
      <c r="E30" s="139">
        <v>0</v>
      </c>
      <c r="F30" s="2"/>
      <c r="G30" s="3" t="s">
        <v>11</v>
      </c>
      <c r="H30" s="57" t="s">
        <v>11</v>
      </c>
    </row>
    <row r="31" spans="1:10" x14ac:dyDescent="0.2">
      <c r="A31" s="134"/>
      <c r="B31" s="139">
        <v>0</v>
      </c>
      <c r="C31" s="2"/>
      <c r="D31" s="2"/>
      <c r="E31" s="139"/>
      <c r="F31" s="2"/>
      <c r="G31" s="3"/>
      <c r="H31" s="57"/>
    </row>
    <row r="32" spans="1:10" ht="13.5" thickBot="1" x14ac:dyDescent="0.25">
      <c r="A32" s="136"/>
      <c r="B32" s="141"/>
      <c r="C32" s="58"/>
      <c r="D32" s="58"/>
      <c r="E32" s="141"/>
      <c r="F32" s="58"/>
      <c r="G32" s="137"/>
      <c r="H32" s="59"/>
    </row>
    <row r="33" spans="1:10" x14ac:dyDescent="0.2">
      <c r="A33" s="128" t="s">
        <v>583</v>
      </c>
      <c r="B33" s="128"/>
      <c r="C33" s="128"/>
      <c r="D33" s="128"/>
      <c r="E33" s="128"/>
      <c r="F33" s="128"/>
      <c r="G33" s="128"/>
      <c r="H33" s="167">
        <f>J80</f>
        <v>1586.7359999999999</v>
      </c>
    </row>
    <row r="34" spans="1:10" x14ac:dyDescent="0.2">
      <c r="A34" s="2" t="s">
        <v>526</v>
      </c>
      <c r="B34" s="168">
        <v>0.1</v>
      </c>
      <c r="C34" s="2"/>
      <c r="D34" s="2"/>
      <c r="E34" s="2"/>
      <c r="F34" s="2"/>
      <c r="G34" s="2"/>
      <c r="H34" s="142">
        <f>B34*H33</f>
        <v>158.67359999999999</v>
      </c>
    </row>
    <row r="35" spans="1:10" x14ac:dyDescent="0.2">
      <c r="A35" s="2" t="s">
        <v>584</v>
      </c>
      <c r="B35" s="2" t="s">
        <v>11</v>
      </c>
      <c r="C35" s="2">
        <v>300</v>
      </c>
      <c r="D35" s="2">
        <v>1.5</v>
      </c>
      <c r="E35" s="2"/>
      <c r="F35" s="2">
        <f>SUM(F13:F25)</f>
        <v>1</v>
      </c>
      <c r="G35" s="2"/>
      <c r="H35" s="2">
        <f>F35*D35*C35</f>
        <v>450</v>
      </c>
    </row>
    <row r="36" spans="1:10" x14ac:dyDescent="0.2">
      <c r="A36" s="2" t="s">
        <v>586</v>
      </c>
      <c r="B36" s="169">
        <v>0.03</v>
      </c>
      <c r="C36" s="2"/>
      <c r="D36" s="2"/>
      <c r="E36" s="2"/>
      <c r="F36" s="2"/>
      <c r="G36" s="2"/>
      <c r="H36" s="142">
        <f>B36*H33</f>
        <v>47.602079999999994</v>
      </c>
    </row>
    <row r="37" spans="1:10" x14ac:dyDescent="0.2">
      <c r="A37" s="2" t="s">
        <v>557</v>
      </c>
      <c r="B37" s="2"/>
      <c r="C37" s="2">
        <v>250</v>
      </c>
      <c r="D37" s="2">
        <v>2.5</v>
      </c>
      <c r="E37" s="2"/>
      <c r="F37" s="2">
        <f>F35</f>
        <v>1</v>
      </c>
      <c r="G37" s="3"/>
      <c r="H37" s="2">
        <f>IF(G9="ano",F37*D37*C37+(C40+H60)*D40*4+300,0)</f>
        <v>0</v>
      </c>
    </row>
    <row r="38" spans="1:10" x14ac:dyDescent="0.2">
      <c r="A38" s="2" t="s">
        <v>556</v>
      </c>
      <c r="B38" s="2"/>
      <c r="C38" s="2"/>
      <c r="D38" s="2"/>
      <c r="E38" s="2"/>
      <c r="F38" s="2"/>
      <c r="G38" s="3"/>
      <c r="H38" s="142">
        <f>IF(F9="ano",H39/1.8,0)</f>
        <v>0</v>
      </c>
    </row>
    <row r="39" spans="1:10" x14ac:dyDescent="0.2">
      <c r="A39" s="2" t="s">
        <v>587</v>
      </c>
      <c r="B39" s="2" t="s">
        <v>11</v>
      </c>
      <c r="D39" s="2">
        <v>8</v>
      </c>
      <c r="E39" s="143">
        <f>F7/80*2</f>
        <v>0</v>
      </c>
      <c r="F39" s="2">
        <v>200</v>
      </c>
      <c r="G39" s="3"/>
      <c r="H39" s="2">
        <f>IF(H9="ne",0,F39*E39+F7*D39*2)</f>
        <v>0</v>
      </c>
    </row>
    <row r="40" spans="1:10" x14ac:dyDescent="0.2">
      <c r="A40" s="2" t="s">
        <v>589</v>
      </c>
      <c r="C40" s="2"/>
      <c r="D40" s="2"/>
      <c r="E40" s="2"/>
      <c r="F40" s="2"/>
      <c r="G40" s="3"/>
      <c r="H40" s="142">
        <f>SUM(H33:H39)</f>
        <v>2243.0116800000001</v>
      </c>
    </row>
    <row r="41" spans="1:10" x14ac:dyDescent="0.2">
      <c r="A41" s="2" t="s">
        <v>590</v>
      </c>
      <c r="B41" s="168">
        <v>0.05</v>
      </c>
      <c r="C41" s="2"/>
      <c r="D41" s="2"/>
      <c r="E41" s="2"/>
      <c r="F41" s="2"/>
      <c r="G41" s="3"/>
      <c r="H41" s="142">
        <f>B41*H40</f>
        <v>112.15058400000001</v>
      </c>
    </row>
    <row r="42" spans="1:10" x14ac:dyDescent="0.2">
      <c r="A42" s="2" t="s">
        <v>534</v>
      </c>
      <c r="B42" s="168">
        <v>0.4</v>
      </c>
      <c r="C42" s="2"/>
      <c r="D42" s="2"/>
      <c r="E42" s="2"/>
      <c r="F42" s="2"/>
      <c r="G42" s="3"/>
      <c r="H42" s="142">
        <f>B42*H40</f>
        <v>897.20467200000007</v>
      </c>
    </row>
    <row r="43" spans="1:10" ht="15.75" x14ac:dyDescent="0.25">
      <c r="A43" s="2" t="s">
        <v>592</v>
      </c>
      <c r="B43" s="168"/>
      <c r="C43" s="2"/>
      <c r="D43" s="2"/>
      <c r="E43" s="2"/>
      <c r="F43" s="2"/>
      <c r="G43" s="3"/>
      <c r="H43" s="170">
        <f>SUM(H40:H42)</f>
        <v>3252.3669360000004</v>
      </c>
      <c r="J43" t="s">
        <v>11</v>
      </c>
    </row>
    <row r="44" spans="1:10" x14ac:dyDescent="0.2">
      <c r="A44" s="2"/>
      <c r="B44" s="2"/>
      <c r="C44" s="2"/>
      <c r="D44" s="2"/>
      <c r="E44" s="2"/>
      <c r="F44" s="2"/>
      <c r="G44" s="3"/>
      <c r="H44" s="2"/>
    </row>
    <row r="45" spans="1:10" ht="22.5" customHeight="1" thickBot="1" x14ac:dyDescent="0.3">
      <c r="A45" s="146" t="s">
        <v>593</v>
      </c>
      <c r="B45" s="147"/>
      <c r="C45" s="147"/>
      <c r="D45" s="147"/>
      <c r="E45" s="147"/>
      <c r="F45" s="147"/>
      <c r="G45" s="148" t="s">
        <v>11</v>
      </c>
      <c r="H45" s="171">
        <f>H43*1.15</f>
        <v>3740.2219764000001</v>
      </c>
    </row>
    <row r="46" spans="1:10" x14ac:dyDescent="0.2">
      <c r="A46" s="128" t="s">
        <v>11</v>
      </c>
      <c r="B46" s="128"/>
      <c r="C46" s="128"/>
      <c r="D46" s="128"/>
      <c r="E46" s="128"/>
      <c r="F46" s="128"/>
      <c r="G46" s="129"/>
      <c r="H46" s="128"/>
    </row>
    <row r="47" spans="1:10" x14ac:dyDescent="0.2">
      <c r="A47" s="2" t="s">
        <v>11</v>
      </c>
      <c r="B47" s="2"/>
      <c r="C47" s="2"/>
      <c r="D47" s="2"/>
      <c r="E47" s="2"/>
      <c r="F47" s="2"/>
      <c r="G47" s="3"/>
      <c r="H47" s="2"/>
    </row>
    <row r="51" spans="1:17" ht="13.5" thickBot="1" x14ac:dyDescent="0.25"/>
    <row r="52" spans="1:17" ht="39.75" customHeight="1" x14ac:dyDescent="0.2">
      <c r="A52" s="192" t="s">
        <v>552</v>
      </c>
      <c r="B52" s="193"/>
      <c r="C52" s="193"/>
      <c r="D52" s="193"/>
      <c r="E52" s="193"/>
      <c r="F52" s="193"/>
      <c r="G52" s="193"/>
      <c r="H52" s="193"/>
      <c r="I52" s="193"/>
      <c r="J52" s="194"/>
    </row>
    <row r="53" spans="1:17" ht="17.25" customHeight="1" x14ac:dyDescent="0.2">
      <c r="A53" s="2"/>
      <c r="B53" s="2" t="s">
        <v>474</v>
      </c>
      <c r="C53" s="2" t="s">
        <v>473</v>
      </c>
      <c r="D53" s="2" t="s">
        <v>2</v>
      </c>
      <c r="E53" s="2" t="s">
        <v>30</v>
      </c>
      <c r="F53" s="2" t="s">
        <v>472</v>
      </c>
      <c r="G53" s="2" t="s">
        <v>29</v>
      </c>
      <c r="H53" s="2" t="s">
        <v>571</v>
      </c>
      <c r="I53" s="2" t="s">
        <v>570</v>
      </c>
      <c r="J53" s="57" t="s">
        <v>3</v>
      </c>
      <c r="O53" t="s">
        <v>28</v>
      </c>
    </row>
    <row r="54" spans="1:17" ht="97.5" customHeight="1" x14ac:dyDescent="0.2">
      <c r="A54" s="2"/>
      <c r="B54" s="64" t="s">
        <v>458</v>
      </c>
      <c r="C54" s="2">
        <v>51536</v>
      </c>
      <c r="D54" s="2">
        <f>0.112*2+0.036</f>
        <v>0.26</v>
      </c>
      <c r="E54" s="66">
        <v>0.95</v>
      </c>
      <c r="F54" s="2">
        <v>112</v>
      </c>
      <c r="G54" s="2">
        <f>E54*F54</f>
        <v>106.39999999999999</v>
      </c>
      <c r="H54" s="2">
        <f>IF(B9="ne",0,SUM(F16:F24)+F13+F14)</f>
        <v>1</v>
      </c>
      <c r="I54" s="2">
        <f>G54*9+D54*9*160</f>
        <v>1332</v>
      </c>
      <c r="J54" s="57">
        <f t="shared" ref="J54:J64" si="7">I54*H54</f>
        <v>1332</v>
      </c>
      <c r="K54" t="s">
        <v>11</v>
      </c>
      <c r="O54">
        <v>85</v>
      </c>
      <c r="Q54">
        <f>1.9+1.05</f>
        <v>2.95</v>
      </c>
    </row>
    <row r="55" spans="1:17" ht="105" customHeight="1" x14ac:dyDescent="0.2">
      <c r="A55" s="2"/>
      <c r="B55" s="63" t="s">
        <v>6</v>
      </c>
      <c r="C55" s="5" t="s">
        <v>27</v>
      </c>
      <c r="D55" s="2">
        <v>0.2</v>
      </c>
      <c r="E55" s="66">
        <v>0.44</v>
      </c>
      <c r="F55" s="2">
        <f>F54</f>
        <v>112</v>
      </c>
      <c r="G55" s="2">
        <f t="shared" ref="G55:G61" si="8">F55*E55</f>
        <v>49.28</v>
      </c>
      <c r="H55" s="2">
        <f>IF(C9="ne",SUM(B16:B24)*SUM(E16:E24)*2,0)</f>
        <v>2</v>
      </c>
      <c r="I55" s="2">
        <f>G55+(D55*200)</f>
        <v>89.28</v>
      </c>
      <c r="J55" s="57">
        <f t="shared" si="7"/>
        <v>178.56</v>
      </c>
      <c r="O55">
        <v>90</v>
      </c>
      <c r="Q55" t="e">
        <f>#REF!+10</f>
        <v>#REF!</v>
      </c>
    </row>
    <row r="56" spans="1:17" ht="54" customHeight="1" x14ac:dyDescent="0.2">
      <c r="A56" s="2"/>
      <c r="B56" s="64" t="s">
        <v>471</v>
      </c>
      <c r="C56" s="2" t="s">
        <v>26</v>
      </c>
      <c r="D56" s="2">
        <v>0.08</v>
      </c>
      <c r="E56" s="66">
        <v>0.33</v>
      </c>
      <c r="F56" s="2">
        <f>F55</f>
        <v>112</v>
      </c>
      <c r="G56" s="2">
        <f t="shared" si="8"/>
        <v>36.96</v>
      </c>
      <c r="H56" s="2">
        <f>SUM(B13:B15)*SUM(E13:E15)</f>
        <v>0</v>
      </c>
      <c r="I56" s="2">
        <f>G56+(D56*200)</f>
        <v>52.96</v>
      </c>
      <c r="J56" s="57">
        <f t="shared" si="7"/>
        <v>0</v>
      </c>
      <c r="O56">
        <v>90</v>
      </c>
      <c r="Q56" t="e">
        <f>Q55+15</f>
        <v>#REF!</v>
      </c>
    </row>
    <row r="57" spans="1:17" ht="94.5" customHeight="1" x14ac:dyDescent="0.2">
      <c r="A57" s="2"/>
      <c r="B57" s="64" t="s">
        <v>25</v>
      </c>
      <c r="C57" s="2" t="s">
        <v>24</v>
      </c>
      <c r="D57" s="2">
        <f>0.22</f>
        <v>0.22</v>
      </c>
      <c r="E57" s="66">
        <v>1.7</v>
      </c>
      <c r="F57" s="2">
        <f t="shared" ref="F57:F59" si="9">F56</f>
        <v>112</v>
      </c>
      <c r="G57" s="2">
        <f t="shared" si="8"/>
        <v>190.4</v>
      </c>
      <c r="H57" s="2">
        <f>SUM(B13:B15)+SUM(C13:C15)*2</f>
        <v>0</v>
      </c>
      <c r="I57" s="2">
        <f>G57+(D57*200)</f>
        <v>234.4</v>
      </c>
      <c r="J57" s="57">
        <f t="shared" si="7"/>
        <v>0</v>
      </c>
      <c r="O57">
        <v>90</v>
      </c>
    </row>
    <row r="58" spans="1:17" ht="94.5" customHeight="1" x14ac:dyDescent="0.2">
      <c r="A58" s="2"/>
      <c r="B58" s="64" t="s">
        <v>475</v>
      </c>
      <c r="C58" s="2" t="s">
        <v>23</v>
      </c>
      <c r="D58" s="2">
        <v>0.15</v>
      </c>
      <c r="E58" s="66">
        <v>0.77</v>
      </c>
      <c r="F58" s="2">
        <f t="shared" si="9"/>
        <v>112</v>
      </c>
      <c r="G58" s="2">
        <f t="shared" si="8"/>
        <v>86.240000000000009</v>
      </c>
      <c r="H58" s="2">
        <f>H56</f>
        <v>0</v>
      </c>
      <c r="I58" s="2">
        <f>G58+(D58*200)</f>
        <v>116.24000000000001</v>
      </c>
      <c r="J58" s="57">
        <f t="shared" si="7"/>
        <v>0</v>
      </c>
      <c r="O58">
        <v>90</v>
      </c>
    </row>
    <row r="59" spans="1:17" ht="94.5" customHeight="1" x14ac:dyDescent="0.2">
      <c r="A59" s="2"/>
      <c r="B59" s="63" t="s">
        <v>577</v>
      </c>
      <c r="C59" s="5" t="s">
        <v>22</v>
      </c>
      <c r="D59" s="2">
        <f>0.32</f>
        <v>0.32</v>
      </c>
      <c r="E59" s="66">
        <v>2.5</v>
      </c>
      <c r="F59" s="2">
        <f t="shared" si="9"/>
        <v>112</v>
      </c>
      <c r="G59" s="2">
        <f t="shared" si="8"/>
        <v>280</v>
      </c>
      <c r="H59" s="2">
        <f>B29*E29+B30*E30+B31*E31+B32*E32</f>
        <v>0</v>
      </c>
      <c r="I59" s="2">
        <f>G59+(D59*200)</f>
        <v>344</v>
      </c>
      <c r="J59" s="57">
        <f t="shared" si="7"/>
        <v>0</v>
      </c>
      <c r="O59">
        <v>90</v>
      </c>
    </row>
    <row r="60" spans="1:17" ht="94.5" customHeight="1" x14ac:dyDescent="0.2">
      <c r="A60" s="2"/>
      <c r="B60" s="64" t="s">
        <v>578</v>
      </c>
      <c r="C60" s="5" t="s">
        <v>579</v>
      </c>
      <c r="D60" s="2">
        <f>0.16*0.16*2</f>
        <v>5.1200000000000002E-2</v>
      </c>
      <c r="E60" s="66">
        <v>1.78</v>
      </c>
      <c r="F60" s="2">
        <f>F59</f>
        <v>112</v>
      </c>
      <c r="G60" s="2">
        <f>0.32*E60*F60</f>
        <v>63.795200000000001</v>
      </c>
      <c r="H60" s="2">
        <f>SUM(E29:E31)</f>
        <v>0</v>
      </c>
      <c r="I60" s="2">
        <f>G60+(D60*200)+150+100+100</f>
        <v>424.03520000000003</v>
      </c>
      <c r="J60" s="57">
        <f t="shared" si="7"/>
        <v>0</v>
      </c>
    </row>
    <row r="61" spans="1:17" ht="94.5" customHeight="1" x14ac:dyDescent="0.2">
      <c r="A61" s="2"/>
      <c r="B61" s="64" t="s">
        <v>21</v>
      </c>
      <c r="C61" s="2" t="s">
        <v>20</v>
      </c>
      <c r="D61" s="2">
        <f>0.048</f>
        <v>4.8000000000000001E-2</v>
      </c>
      <c r="E61" s="66">
        <v>0.14099999999999999</v>
      </c>
      <c r="F61" s="2">
        <f>F59</f>
        <v>112</v>
      </c>
      <c r="G61" s="2">
        <f t="shared" si="8"/>
        <v>15.791999999999998</v>
      </c>
      <c r="H61" s="2">
        <f>(H58+H55)*1.5</f>
        <v>3</v>
      </c>
      <c r="I61" s="2">
        <f>G61+(D61*200)</f>
        <v>25.391999999999996</v>
      </c>
      <c r="J61" s="57">
        <f t="shared" si="7"/>
        <v>76.175999999999988</v>
      </c>
      <c r="O61">
        <v>90</v>
      </c>
    </row>
    <row r="62" spans="1:17" ht="123.75" customHeight="1" x14ac:dyDescent="0.2">
      <c r="A62" s="2"/>
      <c r="B62" s="64" t="s">
        <v>581</v>
      </c>
      <c r="C62" s="5" t="s">
        <v>11</v>
      </c>
      <c r="D62" s="2" t="s">
        <v>50</v>
      </c>
      <c r="E62" s="66"/>
      <c r="F62" s="2">
        <v>130</v>
      </c>
      <c r="G62" s="2"/>
      <c r="H62" s="2">
        <f>SUM(E13:E15)*2</f>
        <v>0</v>
      </c>
      <c r="I62" s="2">
        <f>F62</f>
        <v>130</v>
      </c>
      <c r="J62" s="57">
        <f t="shared" si="7"/>
        <v>0</v>
      </c>
      <c r="O62">
        <v>160</v>
      </c>
    </row>
    <row r="63" spans="1:17" ht="123.75" customHeight="1" x14ac:dyDescent="0.2">
      <c r="A63" s="2"/>
      <c r="B63" s="64" t="s">
        <v>580</v>
      </c>
      <c r="C63" s="5" t="s">
        <v>11</v>
      </c>
      <c r="D63" s="2" t="s">
        <v>50</v>
      </c>
      <c r="E63" s="66"/>
      <c r="F63" s="2">
        <v>130</v>
      </c>
      <c r="G63" s="2"/>
      <c r="H63" s="2">
        <f>SUM(E25)*3</f>
        <v>0</v>
      </c>
      <c r="I63" s="2">
        <f>F63</f>
        <v>130</v>
      </c>
      <c r="J63" s="57">
        <f t="shared" si="7"/>
        <v>0</v>
      </c>
    </row>
    <row r="64" spans="1:17" ht="130.5" customHeight="1" x14ac:dyDescent="0.2">
      <c r="A64" s="2"/>
      <c r="B64" s="64" t="s">
        <v>554</v>
      </c>
      <c r="C64" s="2"/>
      <c r="D64" s="2" t="s">
        <v>50</v>
      </c>
      <c r="E64" s="66">
        <v>2.1930000000000001</v>
      </c>
      <c r="F64" s="2">
        <v>60</v>
      </c>
      <c r="G64" s="2"/>
      <c r="H64" s="2">
        <f>H63+H62</f>
        <v>0</v>
      </c>
      <c r="I64" s="2">
        <v>60</v>
      </c>
      <c r="J64" s="57">
        <f t="shared" si="7"/>
        <v>0</v>
      </c>
      <c r="O64">
        <f>2.19*90*0.1</f>
        <v>19.71</v>
      </c>
    </row>
    <row r="65" spans="1:15" ht="119.25" customHeight="1" x14ac:dyDescent="0.2">
      <c r="A65" s="2"/>
      <c r="B65" s="65" t="s">
        <v>19</v>
      </c>
      <c r="C65" s="2" t="s">
        <v>602</v>
      </c>
      <c r="D65" s="2" t="s">
        <v>50</v>
      </c>
      <c r="E65" s="66"/>
      <c r="F65" s="2"/>
      <c r="G65" s="2">
        <v>500</v>
      </c>
      <c r="H65" s="2">
        <v>0</v>
      </c>
      <c r="I65" s="2"/>
      <c r="J65" s="57"/>
      <c r="L65" s="174" t="s">
        <v>601</v>
      </c>
      <c r="O65">
        <v>168</v>
      </c>
    </row>
    <row r="66" spans="1:15" ht="119.25" customHeight="1" x14ac:dyDescent="0.2">
      <c r="A66" s="2"/>
      <c r="B66" s="65" t="s">
        <v>550</v>
      </c>
      <c r="C66" s="2"/>
      <c r="D66" s="2" t="s">
        <v>50</v>
      </c>
      <c r="E66" s="66"/>
      <c r="F66" s="2"/>
      <c r="G66" s="2">
        <v>202</v>
      </c>
      <c r="H66" s="2">
        <v>0</v>
      </c>
      <c r="I66" s="2"/>
      <c r="J66" s="57"/>
      <c r="L66" s="174" t="s">
        <v>603</v>
      </c>
      <c r="O66">
        <v>222</v>
      </c>
    </row>
    <row r="67" spans="1:15" ht="94.5" customHeight="1" x14ac:dyDescent="0.2">
      <c r="A67" s="67" t="s">
        <v>18</v>
      </c>
      <c r="B67" s="64" t="s">
        <v>17</v>
      </c>
      <c r="C67" s="2" t="s">
        <v>11</v>
      </c>
      <c r="D67" s="2" t="s">
        <v>50</v>
      </c>
      <c r="E67" s="66"/>
      <c r="F67" s="2"/>
      <c r="G67" s="2"/>
      <c r="H67" s="2">
        <v>0</v>
      </c>
      <c r="I67" s="2"/>
      <c r="J67" s="57"/>
      <c r="O67">
        <v>350</v>
      </c>
    </row>
    <row r="68" spans="1:15" ht="94.5" customHeight="1" x14ac:dyDescent="0.2">
      <c r="A68" s="2"/>
      <c r="B68" s="64" t="s">
        <v>16</v>
      </c>
      <c r="C68" s="2" t="s">
        <v>11</v>
      </c>
      <c r="D68" s="2" t="s">
        <v>50</v>
      </c>
      <c r="E68" s="66"/>
      <c r="F68" s="2"/>
      <c r="G68" s="2">
        <v>655</v>
      </c>
      <c r="H68" s="2">
        <v>0</v>
      </c>
      <c r="I68" s="2"/>
      <c r="J68" s="57"/>
      <c r="L68" s="174" t="s">
        <v>604</v>
      </c>
    </row>
    <row r="69" spans="1:15" ht="94.5" customHeight="1" x14ac:dyDescent="0.2">
      <c r="A69" s="2"/>
      <c r="B69" s="64" t="s">
        <v>476</v>
      </c>
      <c r="C69" s="2"/>
      <c r="D69" s="2" t="s">
        <v>50</v>
      </c>
      <c r="E69" s="66"/>
      <c r="F69" s="2"/>
      <c r="G69" s="2">
        <v>150</v>
      </c>
      <c r="H69" s="2">
        <f>H60</f>
        <v>0</v>
      </c>
      <c r="I69" s="2">
        <v>150</v>
      </c>
      <c r="J69" s="57">
        <f>I69*H69</f>
        <v>0</v>
      </c>
    </row>
    <row r="70" spans="1:15" ht="94.5" customHeight="1" x14ac:dyDescent="0.2">
      <c r="A70" s="68" t="s">
        <v>15</v>
      </c>
      <c r="B70" s="65" t="s">
        <v>14</v>
      </c>
      <c r="C70" s="2"/>
      <c r="D70" s="2" t="s">
        <v>50</v>
      </c>
      <c r="E70" s="66"/>
      <c r="F70" s="2"/>
      <c r="G70" s="2"/>
      <c r="H70" s="2">
        <v>0</v>
      </c>
      <c r="I70" s="2"/>
      <c r="J70" s="57"/>
    </row>
    <row r="71" spans="1:15" ht="94.5" customHeight="1" x14ac:dyDescent="0.2">
      <c r="A71" s="2"/>
      <c r="B71" s="64" t="s">
        <v>13</v>
      </c>
      <c r="C71" s="2"/>
      <c r="D71" s="2" t="s">
        <v>50</v>
      </c>
      <c r="E71" s="66"/>
      <c r="F71" s="2">
        <v>130</v>
      </c>
      <c r="G71" s="2" t="s">
        <v>11</v>
      </c>
      <c r="H71" s="2">
        <f>H64</f>
        <v>0</v>
      </c>
      <c r="I71" s="2">
        <v>130</v>
      </c>
      <c r="J71" s="57">
        <f t="shared" ref="J71:J77" si="10">I71*H71</f>
        <v>0</v>
      </c>
    </row>
    <row r="72" spans="1:15" ht="102" customHeight="1" x14ac:dyDescent="0.2">
      <c r="A72" s="2"/>
      <c r="B72" s="64" t="s">
        <v>12</v>
      </c>
      <c r="C72" s="2"/>
      <c r="D72" s="2" t="s">
        <v>50</v>
      </c>
      <c r="E72" s="66"/>
      <c r="F72" s="2">
        <v>250</v>
      </c>
      <c r="G72" s="2" t="s">
        <v>11</v>
      </c>
      <c r="H72" s="2">
        <f>E25+E13+E14+E15</f>
        <v>0</v>
      </c>
      <c r="I72" s="2">
        <f>F72</f>
        <v>250</v>
      </c>
      <c r="J72" s="57">
        <f t="shared" si="10"/>
        <v>0</v>
      </c>
    </row>
    <row r="73" spans="1:15" ht="102" customHeight="1" x14ac:dyDescent="0.2">
      <c r="A73" s="2"/>
      <c r="B73" s="64" t="s">
        <v>478</v>
      </c>
      <c r="C73" s="2"/>
      <c r="D73" s="2">
        <f>0.16</f>
        <v>0.16</v>
      </c>
      <c r="E73" s="66">
        <v>0.315</v>
      </c>
      <c r="F73" s="2">
        <v>80</v>
      </c>
      <c r="G73" s="2">
        <f>F73*E73</f>
        <v>25.2</v>
      </c>
      <c r="H73" s="2">
        <f>IF(B9="ne",SUM(B13:B24)*SUM(E13:E24)*2,0)</f>
        <v>0</v>
      </c>
      <c r="I73" s="2">
        <f>G73+(D73*200)</f>
        <v>57.2</v>
      </c>
      <c r="J73" s="57">
        <f t="shared" si="10"/>
        <v>0</v>
      </c>
    </row>
    <row r="74" spans="1:15" ht="102" customHeight="1" x14ac:dyDescent="0.2">
      <c r="A74" s="2" t="s">
        <v>11</v>
      </c>
      <c r="B74" s="64" t="s">
        <v>477</v>
      </c>
      <c r="C74" s="2"/>
      <c r="D74" s="2">
        <f>0.24</f>
        <v>0.24</v>
      </c>
      <c r="E74" s="66">
        <v>1.03</v>
      </c>
      <c r="F74" s="2">
        <f>F59</f>
        <v>112</v>
      </c>
      <c r="G74" s="2">
        <f>F74*E74</f>
        <v>115.36</v>
      </c>
      <c r="H74" s="2">
        <f>IF(C9="ano",SUM(F13:F28)*8,0)</f>
        <v>0</v>
      </c>
      <c r="I74" s="2">
        <f>G74+(D74*200)</f>
        <v>163.36000000000001</v>
      </c>
      <c r="J74" s="2">
        <f t="shared" si="10"/>
        <v>0</v>
      </c>
    </row>
    <row r="75" spans="1:15" ht="106.5" customHeight="1" x14ac:dyDescent="0.2">
      <c r="A75" s="2"/>
      <c r="B75" s="179" t="s">
        <v>596</v>
      </c>
      <c r="C75" s="2"/>
      <c r="D75" s="2"/>
      <c r="E75" s="2"/>
      <c r="F75" s="2"/>
      <c r="G75" s="2" t="s">
        <v>11</v>
      </c>
      <c r="H75" s="2">
        <f>H76</f>
        <v>0</v>
      </c>
      <c r="I75" s="2">
        <v>500</v>
      </c>
      <c r="J75" s="2">
        <f t="shared" si="10"/>
        <v>0</v>
      </c>
      <c r="L75" t="s">
        <v>595</v>
      </c>
    </row>
    <row r="76" spans="1:15" ht="78.75" customHeight="1" x14ac:dyDescent="0.2">
      <c r="A76" s="2"/>
      <c r="B76" s="179" t="s">
        <v>597</v>
      </c>
      <c r="C76" s="180"/>
      <c r="D76" s="180"/>
      <c r="E76" s="175"/>
      <c r="F76" s="175"/>
      <c r="G76" s="181"/>
      <c r="H76" s="66">
        <f>(E13+E14+E15)</f>
        <v>0</v>
      </c>
      <c r="I76" s="2">
        <v>500</v>
      </c>
      <c r="J76" s="2">
        <f t="shared" si="10"/>
        <v>0</v>
      </c>
      <c r="L76" t="s">
        <v>599</v>
      </c>
    </row>
    <row r="77" spans="1:15" ht="84.75" customHeight="1" x14ac:dyDescent="0.2">
      <c r="A77" s="2"/>
      <c r="B77" s="179" t="s">
        <v>600</v>
      </c>
      <c r="C77" s="2"/>
      <c r="D77" s="2"/>
      <c r="E77" s="2"/>
      <c r="F77" s="2"/>
      <c r="G77" s="2"/>
      <c r="H77" s="66">
        <f>(E13+E14+E15)*2</f>
        <v>0</v>
      </c>
      <c r="I77" s="2">
        <v>80</v>
      </c>
      <c r="J77" s="2">
        <f t="shared" si="10"/>
        <v>0</v>
      </c>
      <c r="L77" t="s">
        <v>598</v>
      </c>
    </row>
    <row r="78" spans="1:15" ht="84.75" customHeight="1" x14ac:dyDescent="0.2">
      <c r="A78" s="2"/>
      <c r="B78" s="179" t="s">
        <v>606</v>
      </c>
      <c r="C78" s="2"/>
      <c r="D78" s="2"/>
      <c r="E78" s="2"/>
      <c r="F78" s="2"/>
      <c r="G78" s="2"/>
      <c r="H78" s="66"/>
      <c r="I78" s="2">
        <v>550</v>
      </c>
      <c r="J78" s="2"/>
      <c r="L78" s="174" t="s">
        <v>605</v>
      </c>
    </row>
    <row r="79" spans="1:15" ht="84.75" customHeight="1" x14ac:dyDescent="0.2">
      <c r="A79" s="2"/>
      <c r="B79" s="179"/>
      <c r="C79" s="2"/>
      <c r="D79" s="2"/>
      <c r="E79" s="2"/>
      <c r="F79" s="2"/>
      <c r="G79" s="2"/>
      <c r="H79" s="66"/>
      <c r="I79" s="2">
        <v>91</v>
      </c>
      <c r="J79" s="2"/>
      <c r="L79" t="s">
        <v>607</v>
      </c>
    </row>
    <row r="80" spans="1:15" ht="66" customHeight="1" x14ac:dyDescent="0.2">
      <c r="A80" s="2"/>
      <c r="B80" s="2"/>
      <c r="C80" s="2"/>
      <c r="D80" s="2"/>
      <c r="E80" s="2"/>
      <c r="F80" s="2"/>
      <c r="G80" s="2"/>
      <c r="H80" s="66"/>
      <c r="I80" s="2"/>
      <c r="J80" s="142">
        <f>SUM(J54:J77)</f>
        <v>1586.7359999999999</v>
      </c>
    </row>
    <row r="81" spans="7:13" x14ac:dyDescent="0.2">
      <c r="H81" s="118"/>
    </row>
    <row r="89" spans="7:13" x14ac:dyDescent="0.2">
      <c r="L89" s="120"/>
      <c r="M89" s="4" t="s">
        <v>11</v>
      </c>
    </row>
    <row r="92" spans="7:13" x14ac:dyDescent="0.2">
      <c r="G92" s="119"/>
    </row>
    <row r="94" spans="7:13" x14ac:dyDescent="0.2">
      <c r="G94" s="120"/>
    </row>
    <row r="96" spans="7:13" x14ac:dyDescent="0.2">
      <c r="G96" s="120"/>
    </row>
    <row r="103" spans="7:20" x14ac:dyDescent="0.2">
      <c r="G103" s="119"/>
    </row>
    <row r="105" spans="7:20" x14ac:dyDescent="0.2">
      <c r="G105" s="120"/>
    </row>
    <row r="106" spans="7:20" x14ac:dyDescent="0.2">
      <c r="J106" s="1"/>
    </row>
    <row r="107" spans="7:20" x14ac:dyDescent="0.2">
      <c r="G107" s="120"/>
      <c r="J107" s="1"/>
    </row>
    <row r="108" spans="7:20" x14ac:dyDescent="0.2">
      <c r="J108" s="1"/>
    </row>
    <row r="109" spans="7:20" x14ac:dyDescent="0.2">
      <c r="G109" s="120"/>
    </row>
    <row r="111" spans="7:20" x14ac:dyDescent="0.2">
      <c r="G111" s="120"/>
      <c r="T111" s="4"/>
    </row>
    <row r="112" spans="7:20" x14ac:dyDescent="0.2">
      <c r="T112" s="4"/>
    </row>
    <row r="113" spans="7:7" x14ac:dyDescent="0.2">
      <c r="G113" s="120"/>
    </row>
    <row r="115" spans="7:7" x14ac:dyDescent="0.2">
      <c r="G115" s="120"/>
    </row>
    <row r="117" spans="7:7" x14ac:dyDescent="0.2">
      <c r="G117" s="119"/>
    </row>
    <row r="119" spans="7:7" x14ac:dyDescent="0.2">
      <c r="G119" s="120"/>
    </row>
    <row r="121" spans="7:7" x14ac:dyDescent="0.2">
      <c r="G121" s="120"/>
    </row>
    <row r="123" spans="7:7" x14ac:dyDescent="0.2">
      <c r="G123" s="120"/>
    </row>
    <row r="125" spans="7:7" x14ac:dyDescent="0.2">
      <c r="G125" s="119"/>
    </row>
    <row r="127" spans="7:7" x14ac:dyDescent="0.2">
      <c r="G127" s="120"/>
    </row>
  </sheetData>
  <mergeCells count="4">
    <mergeCell ref="A4:H4"/>
    <mergeCell ref="A52:J52"/>
    <mergeCell ref="D1:H1"/>
    <mergeCell ref="B1:C1"/>
  </mergeCells>
  <hyperlinks>
    <hyperlink ref="B65" r:id="rId1" xr:uid="{00000000-0004-0000-0300-000000000000}"/>
    <hyperlink ref="B66" r:id="rId2" location="/rozmer_vlozky-35_55mm" display="vložka zámek" xr:uid="{00000000-0004-0000-0300-000001000000}"/>
    <hyperlink ref="A67" r:id="rId3" xr:uid="{00000000-0004-0000-0300-000002000000}"/>
    <hyperlink ref="A70" r:id="rId4" xr:uid="{00000000-0004-0000-0300-000003000000}"/>
    <hyperlink ref="B70" r:id="rId5" xr:uid="{00000000-0004-0000-0300-000004000000}"/>
    <hyperlink ref="D1" r:id="rId6" xr:uid="{00000000-0004-0000-0300-000007000000}"/>
    <hyperlink ref="L65" r:id="rId7" xr:uid="{F7CDC6D6-1ABA-4FD9-B5B9-93E929CA57EB}"/>
    <hyperlink ref="L68" r:id="rId8" xr:uid="{1B325E0E-21A5-4DE3-B78F-C71F1A3DC4BF}"/>
    <hyperlink ref="L66" r:id="rId9" xr:uid="{2966675A-9297-40DD-9FCC-144105D647DE}"/>
    <hyperlink ref="L78" r:id="rId10" location="/108-orientace_kliky-leva/98-orientace_koule-pevna" display="https://www.kliky-schranky.cz/koule-/1454-onyx-klika-koule-nerez.html - /108-orientace_kliky-leva/98-orientace_koule-pevna" xr:uid="{52F4D38F-02C4-4B83-92B1-E2F217751C18}"/>
  </hyperlinks>
  <pageMargins left="0.37" right="0.17" top="0.51" bottom="0.28999999999999998" header="0.3" footer="0.3"/>
  <pageSetup paperSize="9" scale="36" fitToHeight="0" orientation="portrait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EF70C-BBF1-4C30-A4D7-C73BCC384CE3}">
  <dimension ref="A1:U21"/>
  <sheetViews>
    <sheetView tabSelected="1" topLeftCell="A6" zoomScaleNormal="100" workbookViewId="0">
      <selection activeCell="F21" sqref="F21"/>
    </sheetView>
  </sheetViews>
  <sheetFormatPr defaultRowHeight="12.75" x14ac:dyDescent="0.2"/>
  <cols>
    <col min="5" max="5" width="16.42578125" bestFit="1" customWidth="1"/>
    <col min="6" max="6" width="41" customWidth="1"/>
    <col min="17" max="17" width="8.28515625" customWidth="1"/>
  </cols>
  <sheetData>
    <row r="1" spans="1:21" ht="43.5" customHeight="1" thickBot="1" x14ac:dyDescent="0.25">
      <c r="A1" s="176" t="s">
        <v>569</v>
      </c>
      <c r="B1" s="176" t="s">
        <v>568</v>
      </c>
      <c r="C1" s="176" t="s">
        <v>608</v>
      </c>
      <c r="D1" s="176" t="s">
        <v>609</v>
      </c>
      <c r="E1" s="176" t="s">
        <v>623</v>
      </c>
      <c r="F1" s="176" t="s">
        <v>610</v>
      </c>
      <c r="H1" s="182" t="s">
        <v>622</v>
      </c>
      <c r="I1">
        <v>25.5</v>
      </c>
    </row>
    <row r="2" spans="1:21" ht="30" customHeight="1" thickBot="1" x14ac:dyDescent="0.25">
      <c r="A2" s="177" t="s">
        <v>611</v>
      </c>
      <c r="B2" s="177" t="s">
        <v>612</v>
      </c>
      <c r="C2" s="177">
        <v>157</v>
      </c>
      <c r="D2" s="177">
        <v>3050</v>
      </c>
      <c r="E2" s="177">
        <f>D2/I1</f>
        <v>119.6078431372549</v>
      </c>
      <c r="F2" s="178" t="s">
        <v>613</v>
      </c>
      <c r="H2" t="s">
        <v>621</v>
      </c>
    </row>
    <row r="3" spans="1:21" ht="28.5" customHeight="1" thickBot="1" x14ac:dyDescent="0.25">
      <c r="A3" s="177">
        <v>180</v>
      </c>
      <c r="B3" s="177">
        <v>100</v>
      </c>
      <c r="C3" s="177" t="s">
        <v>614</v>
      </c>
      <c r="D3" s="177"/>
      <c r="E3" s="177"/>
      <c r="F3" s="178" t="s">
        <v>615</v>
      </c>
      <c r="H3" t="s">
        <v>624</v>
      </c>
    </row>
    <row r="4" spans="1:21" ht="26.25" customHeight="1" thickBot="1" x14ac:dyDescent="0.25">
      <c r="A4" s="177">
        <v>100</v>
      </c>
      <c r="B4" s="177">
        <v>100</v>
      </c>
      <c r="C4" s="177">
        <v>210</v>
      </c>
      <c r="D4" s="177">
        <v>3050</v>
      </c>
      <c r="E4" s="177">
        <f>D4/I1</f>
        <v>119.6078431372549</v>
      </c>
      <c r="F4" s="178" t="s">
        <v>616</v>
      </c>
      <c r="H4" t="s">
        <v>621</v>
      </c>
    </row>
    <row r="5" spans="1:21" ht="41.25" customHeight="1" thickBot="1" x14ac:dyDescent="0.25">
      <c r="A5" s="177">
        <v>100</v>
      </c>
      <c r="B5" s="177">
        <v>100</v>
      </c>
      <c r="C5" s="177">
        <v>129</v>
      </c>
      <c r="D5" s="177">
        <v>3050</v>
      </c>
      <c r="E5" s="177">
        <f>D5/I1</f>
        <v>119.6078431372549</v>
      </c>
      <c r="F5" s="178" t="s">
        <v>617</v>
      </c>
      <c r="H5" t="s">
        <v>621</v>
      </c>
    </row>
    <row r="6" spans="1:21" ht="31.5" customHeight="1" thickBot="1" x14ac:dyDescent="0.25">
      <c r="A6" s="177">
        <v>100</v>
      </c>
      <c r="B6" s="177">
        <v>100</v>
      </c>
      <c r="C6" s="177">
        <v>153</v>
      </c>
      <c r="D6" s="177">
        <v>3050</v>
      </c>
      <c r="E6" s="177">
        <f>D6/I1</f>
        <v>119.6078431372549</v>
      </c>
      <c r="F6" s="178" t="s">
        <v>618</v>
      </c>
      <c r="H6" t="s">
        <v>625</v>
      </c>
    </row>
    <row r="7" spans="1:21" ht="36" customHeight="1" thickBot="1" x14ac:dyDescent="0.25">
      <c r="A7" s="177">
        <v>100</v>
      </c>
      <c r="B7" s="177">
        <v>100</v>
      </c>
      <c r="C7" s="177">
        <v>94</v>
      </c>
      <c r="D7" s="177"/>
      <c r="E7" s="177"/>
      <c r="F7" s="178" t="s">
        <v>619</v>
      </c>
      <c r="H7" t="s">
        <v>626</v>
      </c>
    </row>
    <row r="8" spans="1:21" ht="36.75" customHeight="1" thickBot="1" x14ac:dyDescent="0.25">
      <c r="A8" s="177">
        <v>100</v>
      </c>
      <c r="B8" s="177">
        <v>100</v>
      </c>
      <c r="C8" s="177">
        <v>128</v>
      </c>
      <c r="D8" s="177"/>
      <c r="E8" s="177"/>
      <c r="F8" s="178" t="s">
        <v>620</v>
      </c>
      <c r="H8" t="s">
        <v>627</v>
      </c>
    </row>
    <row r="9" spans="1:21" x14ac:dyDescent="0.2">
      <c r="F9" t="s">
        <v>630</v>
      </c>
      <c r="G9" t="s">
        <v>629</v>
      </c>
    </row>
    <row r="10" spans="1:21" x14ac:dyDescent="0.2">
      <c r="E10" t="s">
        <v>628</v>
      </c>
      <c r="F10" s="166">
        <f>'ploty ceny'!H40</f>
        <v>2243.0116800000001</v>
      </c>
      <c r="G10">
        <f>F10/I1</f>
        <v>87.961242352941184</v>
      </c>
    </row>
    <row r="11" spans="1:21" x14ac:dyDescent="0.2">
      <c r="Q11" t="s">
        <v>631</v>
      </c>
    </row>
    <row r="13" spans="1:21" x14ac:dyDescent="0.2">
      <c r="A13" s="174" t="s">
        <v>638</v>
      </c>
      <c r="Q13" t="s">
        <v>632</v>
      </c>
    </row>
    <row r="14" spans="1:21" x14ac:dyDescent="0.2">
      <c r="A14" s="174" t="s">
        <v>639</v>
      </c>
      <c r="T14" t="s">
        <v>637</v>
      </c>
      <c r="U14" t="s">
        <v>636</v>
      </c>
    </row>
    <row r="15" spans="1:21" ht="23.25" customHeight="1" x14ac:dyDescent="0.2">
      <c r="A15" s="174" t="s">
        <v>640</v>
      </c>
      <c r="Q15" t="s">
        <v>633</v>
      </c>
      <c r="T15">
        <v>1350</v>
      </c>
      <c r="U15">
        <f>T15*25.5</f>
        <v>34425</v>
      </c>
    </row>
    <row r="16" spans="1:21" x14ac:dyDescent="0.2">
      <c r="A16" s="174" t="s">
        <v>641</v>
      </c>
    </row>
    <row r="17" spans="1:21" x14ac:dyDescent="0.2">
      <c r="A17" s="174" t="s">
        <v>642</v>
      </c>
      <c r="Q17" t="s">
        <v>634</v>
      </c>
      <c r="T17">
        <v>2770</v>
      </c>
      <c r="U17">
        <f>T17*25.5</f>
        <v>70635</v>
      </c>
    </row>
    <row r="19" spans="1:21" x14ac:dyDescent="0.2">
      <c r="Q19" t="s">
        <v>635</v>
      </c>
      <c r="T19">
        <v>3825</v>
      </c>
      <c r="U19">
        <f>T19*25.5</f>
        <v>97537.5</v>
      </c>
    </row>
    <row r="21" spans="1:21" x14ac:dyDescent="0.2">
      <c r="Q21" t="s">
        <v>28</v>
      </c>
      <c r="U21">
        <f>SUM(U15:U19)</f>
        <v>202597.5</v>
      </c>
    </row>
  </sheetData>
  <hyperlinks>
    <hyperlink ref="F2" r:id="rId1" xr:uid="{A554A1E2-4849-4FCA-83E0-851C84C388F5}"/>
    <hyperlink ref="F3" r:id="rId2" xr:uid="{3EA68A09-DFAB-4446-ADF4-50DFE10CD23A}"/>
    <hyperlink ref="F4" r:id="rId3" xr:uid="{653FEBD9-5A98-41F6-B3BF-0BC3006FA209}"/>
    <hyperlink ref="F5" r:id="rId4" xr:uid="{D3D1938C-E878-46E8-84A0-462C7C5D3D46}"/>
    <hyperlink ref="F6" r:id="rId5" xr:uid="{3DB33208-D951-48C8-B150-EF8DDF617486}"/>
    <hyperlink ref="F7" r:id="rId6" xr:uid="{53C64FAB-60EA-4299-8EC0-A41C26634B56}"/>
    <hyperlink ref="F8" r:id="rId7" xr:uid="{22EDE1FA-101E-4E45-8F6C-0A20DA6585AA}"/>
    <hyperlink ref="A13" r:id="rId8" location="hpc (novum/Future)" xr:uid="{C0DD8C14-D4E5-4BB3-9594-EDDD28D0ACF1}"/>
    <hyperlink ref="A14" r:id="rId9" xr:uid="{165D3639-3FF5-4375-8DDC-8EFC159DF6B1}"/>
    <hyperlink ref="A15" r:id="rId10" xr:uid="{8D43B199-33D9-4D2C-8C12-F5EA40D9C9C6}"/>
    <hyperlink ref="A16" r:id="rId11" xr:uid="{F467BA66-02BF-442A-AA13-56768DBEEF80}"/>
    <hyperlink ref="A17" r:id="rId12" xr:uid="{A5E53A02-3316-4832-A021-8278E35987D8}"/>
  </hyperlinks>
  <pageMargins left="0.7" right="0.7" top="0.78740157499999996" bottom="0.78740157499999996" header="0.3" footer="0.3"/>
  <pageSetup paperSize="9" orientation="portrait" r:id="rId13"/>
  <drawing r:id="rId1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H5:O22"/>
  <sheetViews>
    <sheetView topLeftCell="L26" zoomScale="96" zoomScaleNormal="96" workbookViewId="0">
      <selection activeCell="P42" sqref="P42"/>
    </sheetView>
  </sheetViews>
  <sheetFormatPr defaultRowHeight="15" x14ac:dyDescent="0.25"/>
  <cols>
    <col min="1" max="8" width="9.140625" style="60"/>
    <col min="9" max="9" width="13.85546875" style="60" customWidth="1"/>
    <col min="10" max="10" width="12.85546875" style="60" customWidth="1"/>
    <col min="11" max="16384" width="9.140625" style="60"/>
  </cols>
  <sheetData>
    <row r="5" spans="8:12" x14ac:dyDescent="0.25">
      <c r="H5" s="60" t="s">
        <v>441</v>
      </c>
      <c r="I5" s="60" t="s">
        <v>442</v>
      </c>
      <c r="J5" s="60">
        <v>10</v>
      </c>
      <c r="K5" s="60" t="s">
        <v>441</v>
      </c>
      <c r="L5" s="61" t="s">
        <v>466</v>
      </c>
    </row>
    <row r="6" spans="8:12" x14ac:dyDescent="0.25">
      <c r="I6" s="60" t="s">
        <v>443</v>
      </c>
      <c r="J6" s="60">
        <v>13</v>
      </c>
      <c r="K6" s="60" t="s">
        <v>441</v>
      </c>
      <c r="L6" s="61" t="s">
        <v>460</v>
      </c>
    </row>
    <row r="7" spans="8:12" x14ac:dyDescent="0.25">
      <c r="I7" s="60" t="s">
        <v>444</v>
      </c>
      <c r="J7" s="60">
        <v>50</v>
      </c>
      <c r="K7" s="60" t="s">
        <v>445</v>
      </c>
      <c r="L7" s="61" t="s">
        <v>462</v>
      </c>
    </row>
    <row r="8" spans="8:12" x14ac:dyDescent="0.25">
      <c r="I8" s="60" t="s">
        <v>443</v>
      </c>
      <c r="J8" s="60">
        <v>25</v>
      </c>
      <c r="K8" s="60" t="s">
        <v>446</v>
      </c>
      <c r="L8" s="61" t="s">
        <v>460</v>
      </c>
    </row>
    <row r="9" spans="8:12" x14ac:dyDescent="0.25">
      <c r="I9" s="60" t="s">
        <v>444</v>
      </c>
      <c r="J9" s="60">
        <v>50</v>
      </c>
      <c r="K9" s="60" t="s">
        <v>447</v>
      </c>
      <c r="L9" s="61" t="s">
        <v>459</v>
      </c>
    </row>
    <row r="10" spans="8:12" x14ac:dyDescent="0.25">
      <c r="I10" s="60" t="s">
        <v>443</v>
      </c>
      <c r="J10" s="60">
        <v>10</v>
      </c>
      <c r="K10" s="60" t="s">
        <v>448</v>
      </c>
      <c r="L10" s="61" t="s">
        <v>460</v>
      </c>
    </row>
    <row r="11" spans="8:12" x14ac:dyDescent="0.25">
      <c r="I11" s="60" t="s">
        <v>449</v>
      </c>
      <c r="J11" s="60">
        <v>20</v>
      </c>
      <c r="K11" s="60" t="s">
        <v>450</v>
      </c>
      <c r="L11" s="61" t="s">
        <v>461</v>
      </c>
    </row>
    <row r="14" spans="8:12" x14ac:dyDescent="0.25">
      <c r="I14" s="60" t="s">
        <v>451</v>
      </c>
      <c r="K14" s="61" t="s">
        <v>463</v>
      </c>
    </row>
    <row r="16" spans="8:12" x14ac:dyDescent="0.25">
      <c r="I16" s="60" t="s">
        <v>452</v>
      </c>
      <c r="K16" s="60">
        <f>J11+J7</f>
        <v>70</v>
      </c>
      <c r="L16" s="61" t="s">
        <v>464</v>
      </c>
    </row>
    <row r="17" spans="9:15" x14ac:dyDescent="0.25">
      <c r="I17" s="60" t="s">
        <v>453</v>
      </c>
      <c r="K17" s="60">
        <v>35</v>
      </c>
      <c r="L17" s="61" t="s">
        <v>465</v>
      </c>
    </row>
    <row r="18" spans="9:15" x14ac:dyDescent="0.25">
      <c r="I18" s="60" t="s">
        <v>454</v>
      </c>
      <c r="K18" s="60" t="s">
        <v>455</v>
      </c>
      <c r="L18" t="s">
        <v>467</v>
      </c>
      <c r="O18" s="61" t="s">
        <v>468</v>
      </c>
    </row>
    <row r="19" spans="9:15" x14ac:dyDescent="0.25">
      <c r="I19" s="60" t="s">
        <v>456</v>
      </c>
      <c r="J19" s="62" t="s">
        <v>457</v>
      </c>
      <c r="L19" s="61" t="s">
        <v>469</v>
      </c>
    </row>
    <row r="22" spans="9:15" x14ac:dyDescent="0.25">
      <c r="I22" s="61" t="s">
        <v>11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propočet brána</vt:lpstr>
      <vt:lpstr>polotov-prac</vt:lpstr>
      <vt:lpstr>ploty ceny</vt:lpstr>
      <vt:lpstr>konkurnce ploty</vt:lpstr>
      <vt:lpstr>pracov-pant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Karel Hart</dc:creator>
  <cp:lastModifiedBy>Karel Hart</cp:lastModifiedBy>
  <cp:lastPrinted>2019-08-06T12:16:36Z</cp:lastPrinted>
  <dcterms:created xsi:type="dcterms:W3CDTF">2017-08-11T12:11:24Z</dcterms:created>
  <dcterms:modified xsi:type="dcterms:W3CDTF">2019-08-06T12:30:34Z</dcterms:modified>
</cp:coreProperties>
</file>